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lient\Desktop\"/>
    </mc:Choice>
  </mc:AlternateContent>
  <bookViews>
    <workbookView xWindow="0" yWindow="0" windowWidth="19485" windowHeight="8235" firstSheet="5" activeTab="15"/>
  </bookViews>
  <sheets>
    <sheet name="Hp Ripiano Coperture" sheetId="16" state="hidden" r:id="rId1"/>
    <sheet name="Bilancio EQUILIBRI EELL" sheetId="5" r:id="rId2"/>
    <sheet name="Rendiconto 2023" sheetId="1" r:id="rId3"/>
    <sheet name="Previsione Entrate" sheetId="2" r:id="rId4"/>
    <sheet name="Previsione Spese" sheetId="3" r:id="rId5"/>
    <sheet name="Ripiano disavanzo" sheetId="6" r:id="rId6"/>
    <sheet name="Ripiano disavanzo totale" sheetId="7" r:id="rId7"/>
    <sheet name="Ripiano DFB" sheetId="15" r:id="rId8"/>
    <sheet name="Tributi Locali" sheetId="8" r:id="rId9"/>
    <sheet name="Recupero Evasione" sheetId="9" r:id="rId10"/>
    <sheet name="Incremento entrate correnti" sheetId="11" r:id="rId11"/>
    <sheet name="Revisione Spesa" sheetId="12" r:id="rId12"/>
    <sheet name="Macroaggregati" sheetId="19" r:id="rId13"/>
    <sheet name="Servizi domanda ind.le" sheetId="17" r:id="rId14"/>
    <sheet name="Organi Istituzionali" sheetId="18" r:id="rId15"/>
    <sheet name="PCC" sheetId="24" r:id="rId16"/>
    <sheet name="Previsione Spese (2)" sheetId="25" state="hidden" r:id="rId17"/>
  </sheets>
  <externalReferences>
    <externalReference r:id="rId18"/>
  </externalReferences>
  <definedNames>
    <definedName name="_xlnm.Print_Area" localSheetId="1">'Bilancio EQUILIBRI EELL'!$A$1:$F$92</definedName>
    <definedName name="_xlnm.Print_Titles" localSheetId="1">'Bilancio EQUILIBRI EELL'!$1:$1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9" i="2" l="1"/>
  <c r="T9" i="2"/>
  <c r="S9" i="2"/>
  <c r="R9" i="2"/>
  <c r="Q9" i="2"/>
  <c r="P9" i="2"/>
  <c r="O9" i="2"/>
  <c r="N9" i="2"/>
  <c r="N13" i="3"/>
  <c r="U9" i="3"/>
  <c r="T9" i="3"/>
  <c r="S9" i="3"/>
  <c r="R9" i="3"/>
  <c r="Q9" i="3"/>
  <c r="P9" i="3"/>
  <c r="O9" i="3"/>
  <c r="N9" i="3"/>
  <c r="C3" i="25"/>
  <c r="D3" i="25"/>
  <c r="E3" i="25"/>
  <c r="P3" i="25"/>
  <c r="Q3" i="25"/>
  <c r="B4" i="25"/>
  <c r="C4" i="25"/>
  <c r="D4" i="25"/>
  <c r="E4" i="25"/>
  <c r="F13" i="25"/>
  <c r="F4" i="25"/>
  <c r="G13" i="25"/>
  <c r="G4" i="25"/>
  <c r="H13" i="25"/>
  <c r="H4" i="25"/>
  <c r="I13" i="25"/>
  <c r="I4" i="25"/>
  <c r="J13" i="25"/>
  <c r="J4" i="25"/>
  <c r="K13" i="25"/>
  <c r="K4" i="25"/>
  <c r="L13" i="25"/>
  <c r="L4" i="25"/>
  <c r="M13" i="25"/>
  <c r="M4" i="25"/>
  <c r="N13" i="25"/>
  <c r="N4" i="25"/>
  <c r="O13" i="25"/>
  <c r="O4" i="25"/>
  <c r="P13" i="25"/>
  <c r="P4" i="25"/>
  <c r="Q13" i="25"/>
  <c r="Q4" i="25"/>
  <c r="R13" i="25"/>
  <c r="R4" i="25"/>
  <c r="S13" i="25"/>
  <c r="S4" i="25"/>
  <c r="T13" i="25"/>
  <c r="T4" i="25"/>
  <c r="U13" i="25"/>
  <c r="U4" i="25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R15" i="25"/>
  <c r="S15" i="25"/>
  <c r="T15" i="25"/>
  <c r="U15" i="25"/>
  <c r="U28" i="2"/>
  <c r="U35" i="25"/>
  <c r="U34" i="25"/>
  <c r="U36" i="25"/>
  <c r="T28" i="2"/>
  <c r="T35" i="25"/>
  <c r="T34" i="25"/>
  <c r="T36" i="25"/>
  <c r="S28" i="2"/>
  <c r="S35" i="25"/>
  <c r="S34" i="25"/>
  <c r="S36" i="25"/>
  <c r="R28" i="2"/>
  <c r="R35" i="25"/>
  <c r="R34" i="25"/>
  <c r="R36" i="25"/>
  <c r="Q28" i="2"/>
  <c r="Q35" i="25"/>
  <c r="Q34" i="25"/>
  <c r="Q36" i="25"/>
  <c r="P28" i="2"/>
  <c r="P35" i="25"/>
  <c r="P34" i="25"/>
  <c r="P36" i="25"/>
  <c r="O28" i="2"/>
  <c r="O35" i="25"/>
  <c r="O34" i="25"/>
  <c r="O36" i="25"/>
  <c r="N28" i="2"/>
  <c r="N35" i="25"/>
  <c r="N34" i="25"/>
  <c r="N36" i="25"/>
  <c r="M28" i="2"/>
  <c r="M35" i="25"/>
  <c r="M34" i="25"/>
  <c r="M36" i="25"/>
  <c r="L28" i="2"/>
  <c r="L35" i="25"/>
  <c r="L34" i="25"/>
  <c r="L36" i="25"/>
  <c r="K28" i="2"/>
  <c r="K35" i="25"/>
  <c r="K34" i="25"/>
  <c r="K36" i="25"/>
  <c r="J28" i="2"/>
  <c r="J35" i="25"/>
  <c r="J34" i="25"/>
  <c r="J36" i="25"/>
  <c r="I28" i="2"/>
  <c r="I35" i="25"/>
  <c r="I34" i="25"/>
  <c r="I36" i="25"/>
  <c r="H28" i="2"/>
  <c r="H35" i="25"/>
  <c r="H34" i="25"/>
  <c r="H36" i="25"/>
  <c r="G28" i="2"/>
  <c r="G35" i="25"/>
  <c r="G34" i="25"/>
  <c r="G36" i="25"/>
  <c r="F28" i="2"/>
  <c r="F35" i="25"/>
  <c r="F34" i="25"/>
  <c r="F36" i="25"/>
  <c r="E35" i="25"/>
  <c r="E34" i="25"/>
  <c r="E36" i="25"/>
  <c r="D35" i="25"/>
  <c r="D34" i="25"/>
  <c r="D36" i="25"/>
  <c r="C35" i="25"/>
  <c r="C34" i="25"/>
  <c r="C36" i="25"/>
  <c r="B35" i="25"/>
  <c r="B34" i="25"/>
  <c r="B36" i="25"/>
  <c r="U21" i="25"/>
  <c r="T21" i="25"/>
  <c r="S21" i="25"/>
  <c r="R21" i="25"/>
  <c r="Q21" i="25"/>
  <c r="P21" i="25"/>
  <c r="O21" i="25"/>
  <c r="N21" i="25"/>
  <c r="M21" i="25"/>
  <c r="L21" i="25"/>
  <c r="K21" i="25"/>
  <c r="J21" i="25"/>
  <c r="I21" i="25"/>
  <c r="H21" i="25"/>
  <c r="G21" i="25"/>
  <c r="F21" i="25"/>
  <c r="E21" i="25"/>
  <c r="D21" i="25"/>
  <c r="T20" i="25"/>
  <c r="S20" i="25"/>
  <c r="R20" i="25"/>
  <c r="Q20" i="25"/>
  <c r="P20" i="25"/>
  <c r="O20" i="25"/>
  <c r="N20" i="25"/>
  <c r="M20" i="25"/>
  <c r="L20" i="25"/>
  <c r="K20" i="25"/>
  <c r="J20" i="25"/>
  <c r="I20" i="25"/>
  <c r="H20" i="25"/>
  <c r="G20" i="25"/>
  <c r="F20" i="25"/>
  <c r="E20" i="25"/>
  <c r="D20" i="25"/>
  <c r="C20" i="25"/>
  <c r="U18" i="25"/>
  <c r="U19" i="25"/>
  <c r="T18" i="25"/>
  <c r="T19" i="25"/>
  <c r="S18" i="25"/>
  <c r="S19" i="25"/>
  <c r="R18" i="25"/>
  <c r="R19" i="25"/>
  <c r="Q18" i="25"/>
  <c r="Q19" i="25"/>
  <c r="P18" i="25"/>
  <c r="P19" i="25"/>
  <c r="O18" i="25"/>
  <c r="O19" i="25"/>
  <c r="N18" i="25"/>
  <c r="N19" i="25"/>
  <c r="M18" i="25"/>
  <c r="M19" i="25"/>
  <c r="L18" i="25"/>
  <c r="L19" i="25"/>
  <c r="K18" i="25"/>
  <c r="K19" i="25"/>
  <c r="J18" i="25"/>
  <c r="J19" i="25"/>
  <c r="I18" i="25"/>
  <c r="I19" i="25"/>
  <c r="H18" i="25"/>
  <c r="H19" i="25"/>
  <c r="G18" i="25"/>
  <c r="G19" i="25"/>
  <c r="F18" i="25"/>
  <c r="F19" i="25"/>
  <c r="E18" i="25"/>
  <c r="D18" i="25"/>
  <c r="C18" i="25"/>
  <c r="B18" i="25"/>
  <c r="E16" i="25"/>
  <c r="D16" i="25"/>
  <c r="C16" i="25"/>
  <c r="C1" i="25"/>
  <c r="D1" i="25"/>
  <c r="E1" i="25"/>
  <c r="F1" i="25"/>
  <c r="G1" i="25"/>
  <c r="H1" i="25"/>
  <c r="I1" i="25"/>
  <c r="J1" i="25"/>
  <c r="K1" i="25"/>
  <c r="L1" i="25"/>
  <c r="M1" i="25"/>
  <c r="N1" i="25"/>
  <c r="O1" i="25"/>
  <c r="P1" i="25"/>
  <c r="Q1" i="25"/>
  <c r="R1" i="25"/>
  <c r="S1" i="25"/>
  <c r="T1" i="25"/>
  <c r="U1" i="25"/>
  <c r="B36" i="9"/>
  <c r="B33" i="9"/>
  <c r="B22" i="9"/>
  <c r="B19" i="9"/>
  <c r="I26" i="9"/>
  <c r="I23" i="9"/>
  <c r="I20" i="9"/>
  <c r="V15" i="16"/>
  <c r="U15" i="16"/>
  <c r="T15" i="16"/>
  <c r="S15" i="16"/>
  <c r="R15" i="16"/>
  <c r="Q15" i="16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K17" i="6"/>
  <c r="J17" i="6"/>
  <c r="I17" i="6"/>
  <c r="H17" i="6"/>
  <c r="G17" i="6"/>
  <c r="F15" i="6"/>
  <c r="F17" i="6"/>
  <c r="E17" i="6"/>
  <c r="D17" i="6"/>
  <c r="C17" i="6"/>
  <c r="B17" i="6"/>
  <c r="C13" i="6"/>
  <c r="D13" i="6"/>
  <c r="E13" i="6"/>
  <c r="F13" i="6"/>
  <c r="G13" i="6"/>
  <c r="H13" i="6"/>
  <c r="I13" i="6"/>
  <c r="J13" i="6"/>
  <c r="K13" i="6"/>
  <c r="D23" i="12"/>
  <c r="E23" i="12"/>
  <c r="C16" i="19"/>
  <c r="C12" i="19"/>
  <c r="C2" i="19"/>
  <c r="C7" i="19"/>
  <c r="C6" i="19"/>
  <c r="C19" i="12"/>
  <c r="C17" i="12"/>
  <c r="C13" i="12"/>
  <c r="C8" i="12"/>
  <c r="C6" i="12"/>
  <c r="C2" i="12"/>
  <c r="E5" i="1"/>
  <c r="V4" i="11"/>
  <c r="V6" i="11"/>
  <c r="V9" i="11"/>
  <c r="V5" i="11"/>
  <c r="V7" i="11"/>
  <c r="V10" i="11"/>
  <c r="B4" i="11"/>
  <c r="B6" i="11"/>
  <c r="B9" i="11"/>
  <c r="B5" i="11"/>
  <c r="B7" i="11"/>
  <c r="B10" i="11"/>
  <c r="V11" i="11"/>
  <c r="U4" i="11"/>
  <c r="U6" i="11"/>
  <c r="U9" i="11"/>
  <c r="U5" i="11"/>
  <c r="U7" i="11"/>
  <c r="U10" i="11"/>
  <c r="U11" i="11"/>
  <c r="T4" i="11"/>
  <c r="T6" i="11"/>
  <c r="T9" i="11"/>
  <c r="T5" i="11"/>
  <c r="T7" i="11"/>
  <c r="T10" i="11"/>
  <c r="T11" i="11"/>
  <c r="S4" i="11"/>
  <c r="S6" i="11"/>
  <c r="S9" i="11"/>
  <c r="S5" i="11"/>
  <c r="S7" i="11"/>
  <c r="S10" i="11"/>
  <c r="S11" i="11"/>
  <c r="R4" i="11"/>
  <c r="R6" i="11"/>
  <c r="R9" i="11"/>
  <c r="R5" i="11"/>
  <c r="R7" i="11"/>
  <c r="R10" i="11"/>
  <c r="R11" i="11"/>
  <c r="Q4" i="11"/>
  <c r="Q6" i="11"/>
  <c r="Q9" i="11"/>
  <c r="Q5" i="11"/>
  <c r="Q7" i="11"/>
  <c r="Q10" i="11"/>
  <c r="Q11" i="11"/>
  <c r="P4" i="11"/>
  <c r="P6" i="11"/>
  <c r="P9" i="11"/>
  <c r="P5" i="11"/>
  <c r="P7" i="11"/>
  <c r="P10" i="11"/>
  <c r="P11" i="11"/>
  <c r="O4" i="11"/>
  <c r="O6" i="11"/>
  <c r="O9" i="11"/>
  <c r="O5" i="11"/>
  <c r="O7" i="11"/>
  <c r="O10" i="11"/>
  <c r="O11" i="11"/>
  <c r="N4" i="11"/>
  <c r="N6" i="11"/>
  <c r="N9" i="11"/>
  <c r="N5" i="11"/>
  <c r="N7" i="11"/>
  <c r="N10" i="11"/>
  <c r="N11" i="11"/>
  <c r="M4" i="11"/>
  <c r="M6" i="11"/>
  <c r="M9" i="11"/>
  <c r="M5" i="11"/>
  <c r="M7" i="11"/>
  <c r="M10" i="11"/>
  <c r="M11" i="11"/>
  <c r="L4" i="11"/>
  <c r="L6" i="11"/>
  <c r="L9" i="11"/>
  <c r="L5" i="11"/>
  <c r="L7" i="11"/>
  <c r="L10" i="11"/>
  <c r="L11" i="11"/>
  <c r="K4" i="11"/>
  <c r="K6" i="11"/>
  <c r="K9" i="11"/>
  <c r="K5" i="11"/>
  <c r="K7" i="11"/>
  <c r="K10" i="11"/>
  <c r="K11" i="11"/>
  <c r="J4" i="11"/>
  <c r="J6" i="11"/>
  <c r="J9" i="11"/>
  <c r="J5" i="11"/>
  <c r="J7" i="11"/>
  <c r="J10" i="11"/>
  <c r="J11" i="11"/>
  <c r="I4" i="11"/>
  <c r="I6" i="11"/>
  <c r="I9" i="11"/>
  <c r="I5" i="11"/>
  <c r="I7" i="11"/>
  <c r="I10" i="11"/>
  <c r="I11" i="11"/>
  <c r="H4" i="11"/>
  <c r="H6" i="11"/>
  <c r="H9" i="11"/>
  <c r="H5" i="11"/>
  <c r="H7" i="11"/>
  <c r="H10" i="11"/>
  <c r="H11" i="11"/>
  <c r="G4" i="11"/>
  <c r="G6" i="11"/>
  <c r="G9" i="11"/>
  <c r="G5" i="11"/>
  <c r="G7" i="11"/>
  <c r="G10" i="11"/>
  <c r="G11" i="11"/>
  <c r="F4" i="11"/>
  <c r="F6" i="11"/>
  <c r="F9" i="11"/>
  <c r="F5" i="11"/>
  <c r="F7" i="11"/>
  <c r="F10" i="11"/>
  <c r="F11" i="11"/>
  <c r="E4" i="11"/>
  <c r="E6" i="11"/>
  <c r="E9" i="11"/>
  <c r="E5" i="11"/>
  <c r="E7" i="11"/>
  <c r="E10" i="11"/>
  <c r="E11" i="11"/>
  <c r="D4" i="11"/>
  <c r="D6" i="11"/>
  <c r="D9" i="11"/>
  <c r="D5" i="11"/>
  <c r="D7" i="11"/>
  <c r="D10" i="11"/>
  <c r="D11" i="11"/>
  <c r="C4" i="11"/>
  <c r="C6" i="11"/>
  <c r="C9" i="11"/>
  <c r="C5" i="11"/>
  <c r="C7" i="11"/>
  <c r="C10" i="11"/>
  <c r="C11" i="11"/>
  <c r="B18" i="3"/>
  <c r="B28" i="2"/>
  <c r="B35" i="3"/>
  <c r="B4" i="3"/>
  <c r="B34" i="3"/>
  <c r="C4" i="16"/>
  <c r="C5" i="16"/>
  <c r="C15" i="16"/>
  <c r="G15" i="18"/>
  <c r="E15" i="18"/>
  <c r="C15" i="18"/>
  <c r="B15" i="18"/>
  <c r="D11" i="18"/>
  <c r="G16" i="19"/>
  <c r="F16" i="19"/>
  <c r="E16" i="19"/>
  <c r="D16" i="19"/>
  <c r="B16" i="19"/>
  <c r="B7" i="19"/>
  <c r="G7" i="19"/>
  <c r="F7" i="19"/>
  <c r="E7" i="19"/>
  <c r="D7" i="19"/>
  <c r="C8" i="15"/>
  <c r="D5" i="16"/>
  <c r="D8" i="15"/>
  <c r="E5" i="16"/>
  <c r="E8" i="15"/>
  <c r="F5" i="16"/>
  <c r="F8" i="15"/>
  <c r="G5" i="16"/>
  <c r="G8" i="15"/>
  <c r="H5" i="16"/>
  <c r="H8" i="15"/>
  <c r="I5" i="16"/>
  <c r="I8" i="15"/>
  <c r="J5" i="16"/>
  <c r="J8" i="15"/>
  <c r="K8" i="15"/>
  <c r="L8" i="15"/>
  <c r="M5" i="16"/>
  <c r="M8" i="15"/>
  <c r="N5" i="16"/>
  <c r="N8" i="15"/>
  <c r="O5" i="16"/>
  <c r="O8" i="15"/>
  <c r="P8" i="15"/>
  <c r="Q8" i="15"/>
  <c r="R8" i="15"/>
  <c r="S8" i="15"/>
  <c r="T8" i="15"/>
  <c r="U5" i="16"/>
  <c r="U8" i="15"/>
  <c r="W8" i="15"/>
  <c r="C5" i="15"/>
  <c r="D4" i="16"/>
  <c r="D5" i="15"/>
  <c r="M4" i="16"/>
  <c r="M5" i="15"/>
  <c r="W5" i="15"/>
  <c r="Q20" i="15"/>
  <c r="P20" i="15"/>
  <c r="S20" i="15"/>
  <c r="S1" i="15"/>
  <c r="R20" i="15"/>
  <c r="R1" i="15"/>
  <c r="Q1" i="15"/>
  <c r="P1" i="15"/>
  <c r="O20" i="15"/>
  <c r="O1" i="15"/>
  <c r="N20" i="15"/>
  <c r="M20" i="15"/>
  <c r="V20" i="15"/>
  <c r="U20" i="15"/>
  <c r="T20" i="15"/>
  <c r="L20" i="15"/>
  <c r="K20" i="15"/>
  <c r="J20" i="15"/>
  <c r="B8" i="15"/>
  <c r="B5" i="15"/>
  <c r="G6" i="19"/>
  <c r="F6" i="19"/>
  <c r="E6" i="19"/>
  <c r="D6" i="19"/>
  <c r="B6" i="19"/>
  <c r="G17" i="19"/>
  <c r="F17" i="19"/>
  <c r="E12" i="19"/>
  <c r="E17" i="19"/>
  <c r="D12" i="19"/>
  <c r="G2" i="19"/>
  <c r="F2" i="19"/>
  <c r="E2" i="19"/>
  <c r="D2" i="19"/>
  <c r="Q4" i="3"/>
  <c r="R2" i="12"/>
  <c r="R13" i="12"/>
  <c r="P4" i="3"/>
  <c r="Q2" i="12"/>
  <c r="Q13" i="12"/>
  <c r="G13" i="12"/>
  <c r="F13" i="12"/>
  <c r="E13" i="12"/>
  <c r="U19" i="12"/>
  <c r="T19" i="12"/>
  <c r="S19" i="12"/>
  <c r="R17" i="12"/>
  <c r="R19" i="12"/>
  <c r="P19" i="12"/>
  <c r="O19" i="12"/>
  <c r="N19" i="12"/>
  <c r="G19" i="12"/>
  <c r="F19" i="12"/>
  <c r="E19" i="12"/>
  <c r="V17" i="12"/>
  <c r="V19" i="12"/>
  <c r="U17" i="12"/>
  <c r="T17" i="12"/>
  <c r="S17" i="12"/>
  <c r="Q17" i="12"/>
  <c r="Q19" i="12"/>
  <c r="P17" i="12"/>
  <c r="O17" i="12"/>
  <c r="N17" i="12"/>
  <c r="M17" i="12"/>
  <c r="M19" i="12"/>
  <c r="L17" i="12"/>
  <c r="L19" i="12"/>
  <c r="K17" i="12"/>
  <c r="K19" i="12"/>
  <c r="J17" i="12"/>
  <c r="J19" i="12"/>
  <c r="I17" i="12"/>
  <c r="I19" i="12"/>
  <c r="H17" i="12"/>
  <c r="H19" i="12"/>
  <c r="G17" i="12"/>
  <c r="F17" i="12"/>
  <c r="E17" i="12"/>
  <c r="D17" i="12"/>
  <c r="D19" i="12"/>
  <c r="D13" i="12"/>
  <c r="V2" i="12"/>
  <c r="V6" i="12"/>
  <c r="V8" i="12"/>
  <c r="U2" i="12"/>
  <c r="U6" i="12"/>
  <c r="U8" i="12"/>
  <c r="T2" i="12"/>
  <c r="T6" i="12"/>
  <c r="T8" i="12"/>
  <c r="S2" i="12"/>
  <c r="S6" i="12"/>
  <c r="S8" i="12"/>
  <c r="R6" i="12"/>
  <c r="R8" i="12"/>
  <c r="Q6" i="12"/>
  <c r="Q8" i="12"/>
  <c r="P8" i="12"/>
  <c r="O8" i="12"/>
  <c r="N8" i="12"/>
  <c r="M8" i="12"/>
  <c r="L8" i="12"/>
  <c r="K8" i="12"/>
  <c r="J8" i="12"/>
  <c r="I8" i="12"/>
  <c r="H8" i="12"/>
  <c r="G8" i="12"/>
  <c r="F8" i="12"/>
  <c r="E8" i="12"/>
  <c r="D8" i="12"/>
  <c r="P6" i="12"/>
  <c r="O6" i="12"/>
  <c r="N6" i="12"/>
  <c r="M6" i="12"/>
  <c r="L6" i="12"/>
  <c r="K6" i="12"/>
  <c r="J6" i="12"/>
  <c r="I6" i="12"/>
  <c r="H6" i="12"/>
  <c r="G6" i="12"/>
  <c r="F6" i="12"/>
  <c r="E6" i="12"/>
  <c r="D6" i="12"/>
  <c r="B13" i="12"/>
  <c r="P2" i="12"/>
  <c r="O2" i="12"/>
  <c r="N2" i="12"/>
  <c r="M2" i="12"/>
  <c r="L2" i="12"/>
  <c r="K2" i="12"/>
  <c r="J2" i="12"/>
  <c r="I2" i="12"/>
  <c r="H2" i="12"/>
  <c r="G2" i="12"/>
  <c r="F2" i="12"/>
  <c r="E2" i="12"/>
  <c r="D2" i="12"/>
  <c r="G42" i="9"/>
  <c r="F42" i="9"/>
  <c r="E42" i="9"/>
  <c r="D42" i="9"/>
  <c r="C42" i="9"/>
  <c r="B42" i="9"/>
  <c r="G39" i="9"/>
  <c r="F39" i="9"/>
  <c r="E39" i="9"/>
  <c r="D39" i="9"/>
  <c r="C39" i="9"/>
  <c r="G36" i="9"/>
  <c r="F36" i="9"/>
  <c r="E36" i="9"/>
  <c r="D36" i="9"/>
  <c r="C36" i="9"/>
  <c r="G33" i="9"/>
  <c r="F33" i="9"/>
  <c r="E33" i="9"/>
  <c r="D33" i="9"/>
  <c r="C33" i="9"/>
  <c r="U13" i="3"/>
  <c r="T13" i="3"/>
  <c r="S13" i="3"/>
  <c r="R13" i="3"/>
  <c r="S5" i="16"/>
  <c r="R20" i="3"/>
  <c r="R19" i="3"/>
  <c r="Q13" i="3"/>
  <c r="P13" i="3"/>
  <c r="P15" i="3"/>
  <c r="Q15" i="3"/>
  <c r="R15" i="3"/>
  <c r="S15" i="3"/>
  <c r="T15" i="3"/>
  <c r="U15" i="3"/>
  <c r="U19" i="3"/>
  <c r="T20" i="3"/>
  <c r="T19" i="3"/>
  <c r="T5" i="16"/>
  <c r="S20" i="3"/>
  <c r="S19" i="3"/>
  <c r="R5" i="16"/>
  <c r="Q20" i="3"/>
  <c r="Q19" i="3"/>
  <c r="Q5" i="16"/>
  <c r="P20" i="3"/>
  <c r="P19" i="3"/>
  <c r="P5" i="16"/>
  <c r="O20" i="3"/>
  <c r="O19" i="3"/>
  <c r="N20" i="3"/>
  <c r="N19" i="3"/>
  <c r="M20" i="3"/>
  <c r="M19" i="3"/>
  <c r="L20" i="3"/>
  <c r="L19" i="3"/>
  <c r="L4" i="16"/>
  <c r="L5" i="16"/>
  <c r="K20" i="3"/>
  <c r="K19" i="3"/>
  <c r="K4" i="16"/>
  <c r="K5" i="16"/>
  <c r="J20" i="3"/>
  <c r="J19" i="3"/>
  <c r="J4" i="16"/>
  <c r="I20" i="3"/>
  <c r="I19" i="3"/>
  <c r="I4" i="16"/>
  <c r="H20" i="3"/>
  <c r="H19" i="3"/>
  <c r="H4" i="16"/>
  <c r="G20" i="3"/>
  <c r="G19" i="3"/>
  <c r="G4" i="16"/>
  <c r="F20" i="3"/>
  <c r="F19" i="3"/>
  <c r="O15" i="3"/>
  <c r="N15" i="3"/>
  <c r="M15" i="3"/>
  <c r="L15" i="3"/>
  <c r="K15" i="3"/>
  <c r="J15" i="3"/>
  <c r="I15" i="3"/>
  <c r="H15" i="3"/>
  <c r="G15" i="3"/>
  <c r="F15" i="3"/>
  <c r="O13" i="3"/>
  <c r="M13" i="3"/>
  <c r="L13" i="3"/>
  <c r="L4" i="3"/>
  <c r="K13" i="3"/>
  <c r="K4" i="3"/>
  <c r="J13" i="3"/>
  <c r="J4" i="3"/>
  <c r="I13" i="3"/>
  <c r="H13" i="3"/>
  <c r="G13" i="3"/>
  <c r="F13" i="3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14" i="5"/>
  <c r="H9" i="5"/>
  <c r="Q6" i="6"/>
  <c r="F6" i="6"/>
  <c r="H8" i="6"/>
  <c r="G8" i="6"/>
  <c r="F8" i="6"/>
  <c r="E8" i="6"/>
  <c r="D8" i="6"/>
  <c r="C8" i="6"/>
  <c r="B7" i="6"/>
  <c r="B6" i="6"/>
  <c r="B8" i="6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V5" i="16"/>
  <c r="V6" i="16"/>
  <c r="U6" i="16"/>
  <c r="T6" i="16"/>
  <c r="S6" i="16"/>
  <c r="R6" i="16"/>
  <c r="Q6" i="16"/>
  <c r="P6" i="16"/>
  <c r="O6" i="16"/>
  <c r="N6" i="16"/>
  <c r="M6" i="16"/>
  <c r="L6" i="16"/>
  <c r="K6" i="16"/>
  <c r="J6" i="16"/>
  <c r="I6" i="16"/>
  <c r="H6" i="16"/>
  <c r="G6" i="16"/>
  <c r="U4" i="3"/>
  <c r="T4" i="3"/>
  <c r="S4" i="3"/>
  <c r="R4" i="3"/>
  <c r="O4" i="3"/>
  <c r="N4" i="3"/>
  <c r="M4" i="3"/>
  <c r="I4" i="3"/>
  <c r="H4" i="3"/>
  <c r="G4" i="3"/>
  <c r="F4" i="3"/>
  <c r="E4" i="3"/>
  <c r="D4" i="3"/>
  <c r="E15" i="3"/>
  <c r="D15" i="3"/>
  <c r="Q3" i="3"/>
  <c r="P3" i="3"/>
  <c r="S7" i="5"/>
  <c r="R7" i="5"/>
  <c r="E3" i="3"/>
  <c r="D3" i="3"/>
  <c r="F4" i="16"/>
  <c r="E20" i="3"/>
  <c r="E4" i="16"/>
  <c r="D20" i="3"/>
  <c r="E16" i="3"/>
  <c r="D16" i="3"/>
  <c r="C3" i="3"/>
  <c r="C20" i="3"/>
  <c r="C16" i="3"/>
  <c r="C15" i="3"/>
  <c r="C4" i="3"/>
  <c r="E10" i="2"/>
  <c r="D10" i="2"/>
  <c r="C10" i="2"/>
  <c r="E28" i="2"/>
  <c r="D28" i="2"/>
  <c r="C28" i="2"/>
  <c r="E19" i="1"/>
  <c r="E16" i="1"/>
  <c r="B27" i="1"/>
  <c r="E25" i="5"/>
  <c r="S21" i="16"/>
  <c r="R21" i="16"/>
  <c r="Q21" i="16"/>
  <c r="P21" i="16"/>
  <c r="O21" i="16"/>
  <c r="N21" i="16"/>
  <c r="M21" i="16"/>
  <c r="L21" i="16"/>
  <c r="K21" i="16"/>
  <c r="E7" i="16"/>
  <c r="F7" i="16"/>
  <c r="F3" i="16"/>
  <c r="S9" i="16"/>
  <c r="R9" i="16"/>
  <c r="Q9" i="16"/>
  <c r="P9" i="16"/>
  <c r="D30" i="16"/>
  <c r="T21" i="16"/>
  <c r="G21" i="16"/>
  <c r="F21" i="16"/>
  <c r="E21" i="16"/>
  <c r="U9" i="16"/>
  <c r="V21" i="16"/>
  <c r="U21" i="16"/>
  <c r="J21" i="16"/>
  <c r="I21" i="16"/>
  <c r="H21" i="16"/>
  <c r="J26" i="16"/>
  <c r="I26" i="16"/>
  <c r="H26" i="16"/>
  <c r="G26" i="16"/>
  <c r="F26" i="16"/>
  <c r="E26" i="16"/>
  <c r="V9" i="16"/>
  <c r="T9" i="16"/>
  <c r="J9" i="16"/>
  <c r="I9" i="16"/>
  <c r="H9" i="16"/>
  <c r="F9" i="16"/>
  <c r="E9" i="16"/>
  <c r="D9" i="16"/>
  <c r="B26" i="16"/>
  <c r="D26" i="16"/>
  <c r="D17" i="19"/>
  <c r="K9" i="16"/>
  <c r="L9" i="16"/>
  <c r="N9" i="16"/>
  <c r="M9" i="16"/>
  <c r="O9" i="16"/>
  <c r="I23" i="16"/>
  <c r="H23" i="16"/>
  <c r="J23" i="16"/>
  <c r="W4" i="16"/>
  <c r="K26" i="16"/>
  <c r="L26" i="16"/>
  <c r="E23" i="16"/>
  <c r="W5" i="16"/>
  <c r="M26" i="16"/>
  <c r="N23" i="16"/>
  <c r="L23" i="16"/>
  <c r="M23" i="16"/>
  <c r="K23" i="16"/>
  <c r="B2" i="16"/>
  <c r="B3" i="16"/>
  <c r="W3" i="16"/>
  <c r="X3" i="16"/>
  <c r="W2" i="16"/>
  <c r="I20" i="15"/>
  <c r="H20" i="15"/>
  <c r="G20" i="15"/>
  <c r="F20" i="15"/>
  <c r="D1" i="15"/>
  <c r="E1" i="15"/>
  <c r="F1" i="15"/>
  <c r="G1" i="15"/>
  <c r="H1" i="15"/>
  <c r="I1" i="15"/>
  <c r="J1" i="15"/>
  <c r="K1" i="15"/>
  <c r="L1" i="15"/>
  <c r="C20" i="15"/>
  <c r="D20" i="15"/>
  <c r="E20" i="15"/>
  <c r="W20" i="15"/>
  <c r="U1" i="7"/>
  <c r="L1" i="7"/>
  <c r="M1" i="7"/>
  <c r="N1" i="7"/>
  <c r="O1" i="7"/>
  <c r="P1" i="7"/>
  <c r="Q1" i="7"/>
  <c r="R1" i="7"/>
  <c r="S1" i="7"/>
  <c r="T1" i="7"/>
  <c r="V8" i="6"/>
  <c r="U8" i="6"/>
  <c r="T8" i="6"/>
  <c r="S8" i="6"/>
  <c r="R8" i="6"/>
  <c r="Q8" i="6"/>
  <c r="P8" i="6"/>
  <c r="O8" i="6"/>
  <c r="N8" i="6"/>
  <c r="U35" i="3"/>
  <c r="T35" i="3"/>
  <c r="S35" i="3"/>
  <c r="R35" i="3"/>
  <c r="Q35" i="3"/>
  <c r="P35" i="3"/>
  <c r="O35" i="3"/>
  <c r="N35" i="3"/>
  <c r="M35" i="3"/>
  <c r="L35" i="3"/>
  <c r="K35" i="3"/>
  <c r="U34" i="3"/>
  <c r="T34" i="3"/>
  <c r="S34" i="3"/>
  <c r="R34" i="3"/>
  <c r="Q34" i="3"/>
  <c r="P34" i="3"/>
  <c r="O34" i="3"/>
  <c r="N34" i="3"/>
  <c r="M34" i="3"/>
  <c r="L34" i="3"/>
  <c r="K34" i="3"/>
  <c r="K1" i="3"/>
  <c r="L1" i="3"/>
  <c r="M1" i="3"/>
  <c r="N1" i="3"/>
  <c r="O1" i="3"/>
  <c r="P1" i="3"/>
  <c r="Q1" i="3"/>
  <c r="R1" i="3"/>
  <c r="S1" i="3"/>
  <c r="T1" i="3"/>
  <c r="U1" i="3"/>
  <c r="D1" i="3"/>
  <c r="E1" i="3"/>
  <c r="F1" i="3"/>
  <c r="G1" i="3"/>
  <c r="H1" i="3"/>
  <c r="I1" i="3"/>
  <c r="J1" i="3"/>
  <c r="C1" i="3"/>
  <c r="K1" i="2"/>
  <c r="L1" i="2"/>
  <c r="M1" i="2"/>
  <c r="N1" i="2"/>
  <c r="O1" i="2"/>
  <c r="P1" i="2"/>
  <c r="Q1" i="2"/>
  <c r="R1" i="2"/>
  <c r="S1" i="2"/>
  <c r="T1" i="2"/>
  <c r="U1" i="2"/>
  <c r="D1" i="2"/>
  <c r="E1" i="2"/>
  <c r="F1" i="2"/>
  <c r="G1" i="2"/>
  <c r="H1" i="2"/>
  <c r="I1" i="2"/>
  <c r="J1" i="2"/>
  <c r="C1" i="2"/>
  <c r="W72" i="5"/>
  <c r="V72" i="5"/>
  <c r="U72" i="5"/>
  <c r="T72" i="5"/>
  <c r="S72" i="5"/>
  <c r="R72" i="5"/>
  <c r="Q72" i="5"/>
  <c r="P72" i="5"/>
  <c r="O72" i="5"/>
  <c r="N72" i="5"/>
  <c r="P41" i="5"/>
  <c r="P91" i="5"/>
  <c r="W25" i="5"/>
  <c r="W41" i="5"/>
  <c r="W91" i="5"/>
  <c r="V25" i="5"/>
  <c r="V41" i="5"/>
  <c r="V91" i="5"/>
  <c r="U25" i="5"/>
  <c r="U41" i="5"/>
  <c r="U91" i="5"/>
  <c r="T25" i="5"/>
  <c r="T41" i="5"/>
  <c r="S25" i="5"/>
  <c r="S41" i="5"/>
  <c r="R25" i="5"/>
  <c r="R41" i="5"/>
  <c r="Q25" i="5"/>
  <c r="Q41" i="5"/>
  <c r="P25" i="5"/>
  <c r="O25" i="5"/>
  <c r="O41" i="5"/>
  <c r="O91" i="5"/>
  <c r="N25" i="5"/>
  <c r="N41" i="5"/>
  <c r="N1" i="5"/>
  <c r="O1" i="5"/>
  <c r="P1" i="5"/>
  <c r="Q1" i="5"/>
  <c r="R1" i="5"/>
  <c r="S1" i="5"/>
  <c r="T1" i="5"/>
  <c r="U1" i="5"/>
  <c r="V1" i="5"/>
  <c r="W1" i="5"/>
  <c r="M1" i="5"/>
  <c r="F1" i="5"/>
  <c r="G1" i="5"/>
  <c r="H1" i="5"/>
  <c r="I1" i="5"/>
  <c r="J1" i="5"/>
  <c r="K1" i="5"/>
  <c r="L1" i="5"/>
  <c r="E1" i="5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Q12" i="16"/>
  <c r="R12" i="16"/>
  <c r="S12" i="16"/>
  <c r="T12" i="16"/>
  <c r="U12" i="16"/>
  <c r="V12" i="16"/>
  <c r="B17" i="19"/>
  <c r="B21" i="19"/>
  <c r="C17" i="19"/>
  <c r="H12" i="19"/>
  <c r="D11" i="19"/>
  <c r="E11" i="19"/>
  <c r="F11" i="19"/>
  <c r="G11" i="19"/>
  <c r="G8" i="19"/>
  <c r="F8" i="19"/>
  <c r="E8" i="19"/>
  <c r="D8" i="19"/>
  <c r="C8" i="19"/>
  <c r="B8" i="19"/>
  <c r="B20" i="19"/>
  <c r="H2" i="19"/>
  <c r="D1" i="19"/>
  <c r="E1" i="19"/>
  <c r="F1" i="19"/>
  <c r="G1" i="19"/>
  <c r="K3" i="17"/>
  <c r="K4" i="17"/>
  <c r="M1" i="15"/>
  <c r="N1" i="15"/>
  <c r="T1" i="15"/>
  <c r="U1" i="15"/>
  <c r="V1" i="15"/>
  <c r="B22" i="19"/>
  <c r="H17" i="19"/>
  <c r="I17" i="19"/>
  <c r="H8" i="19"/>
  <c r="I8" i="19"/>
  <c r="K36" i="3"/>
  <c r="U36" i="3"/>
  <c r="S36" i="3"/>
  <c r="T36" i="3"/>
  <c r="R36" i="3"/>
  <c r="Q36" i="3"/>
  <c r="P36" i="3"/>
  <c r="O36" i="3"/>
  <c r="N36" i="3"/>
  <c r="L36" i="3"/>
  <c r="M36" i="3"/>
  <c r="S91" i="5"/>
  <c r="Q91" i="5"/>
  <c r="T91" i="5"/>
  <c r="R91" i="5"/>
  <c r="N91" i="5"/>
  <c r="R7" i="7"/>
  <c r="S7" i="7"/>
  <c r="Q7" i="7"/>
  <c r="N7" i="7"/>
  <c r="O7" i="7"/>
  <c r="M7" i="7"/>
  <c r="T7" i="7"/>
  <c r="P7" i="7"/>
  <c r="U7" i="7"/>
  <c r="B23" i="19"/>
  <c r="B20" i="15"/>
  <c r="D1" i="11"/>
  <c r="E1" i="11"/>
  <c r="F1" i="11"/>
  <c r="G1" i="11"/>
  <c r="H1" i="11"/>
  <c r="I1" i="11"/>
  <c r="J1" i="11"/>
  <c r="K1" i="11"/>
  <c r="L1" i="11"/>
  <c r="M1" i="11"/>
  <c r="N1" i="11"/>
  <c r="O1" i="11"/>
  <c r="P1" i="11"/>
  <c r="Q1" i="11"/>
  <c r="R1" i="11"/>
  <c r="S1" i="11"/>
  <c r="T1" i="11"/>
  <c r="U1" i="11"/>
  <c r="V1" i="11"/>
  <c r="L8" i="6"/>
  <c r="K8" i="6"/>
  <c r="J8" i="6"/>
  <c r="I8" i="6"/>
  <c r="D1" i="16"/>
  <c r="E1" i="16"/>
  <c r="F1" i="16"/>
  <c r="G1" i="16"/>
  <c r="H1" i="16"/>
  <c r="I1" i="16"/>
  <c r="J1" i="16"/>
  <c r="K1" i="16"/>
  <c r="L1" i="16"/>
  <c r="M1" i="16"/>
  <c r="N1" i="16"/>
  <c r="O1" i="16"/>
  <c r="P1" i="16"/>
  <c r="Q1" i="16"/>
  <c r="R1" i="16"/>
  <c r="S1" i="16"/>
  <c r="T1" i="16"/>
  <c r="U1" i="16"/>
  <c r="V1" i="16"/>
  <c r="W13" i="16"/>
  <c r="W14" i="16"/>
  <c r="W15" i="16"/>
  <c r="W16" i="16"/>
  <c r="W17" i="16"/>
  <c r="W18" i="16"/>
  <c r="O23" i="16"/>
  <c r="P23" i="16"/>
  <c r="Q23" i="16"/>
  <c r="R23" i="16"/>
  <c r="S23" i="16"/>
  <c r="T23" i="16"/>
  <c r="U23" i="16"/>
  <c r="V23" i="16"/>
  <c r="W20" i="16"/>
  <c r="B7" i="7"/>
  <c r="C21" i="16"/>
  <c r="D21" i="16"/>
  <c r="D23" i="16"/>
  <c r="K7" i="7"/>
  <c r="E7" i="7"/>
  <c r="F7" i="7"/>
  <c r="G7" i="7"/>
  <c r="H7" i="7"/>
  <c r="I7" i="7"/>
  <c r="J7" i="7"/>
  <c r="B4" i="7"/>
  <c r="C7" i="7"/>
  <c r="C9" i="16"/>
  <c r="C23" i="16"/>
  <c r="W21" i="16"/>
  <c r="D7" i="7"/>
  <c r="M8" i="6"/>
  <c r="L7" i="7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D1" i="12"/>
  <c r="E1" i="12"/>
  <c r="F1" i="12"/>
  <c r="G1" i="12"/>
  <c r="H1" i="12"/>
  <c r="I1" i="12"/>
  <c r="J1" i="12"/>
  <c r="K1" i="12"/>
  <c r="L1" i="12"/>
  <c r="M1" i="12"/>
  <c r="N1" i="12"/>
  <c r="O1" i="12"/>
  <c r="P1" i="12"/>
  <c r="Q1" i="12"/>
  <c r="R1" i="12"/>
  <c r="S1" i="12"/>
  <c r="T1" i="12"/>
  <c r="U1" i="12"/>
  <c r="V1" i="12"/>
  <c r="B10" i="7"/>
  <c r="C4" i="7"/>
  <c r="C9" i="7"/>
  <c r="B9" i="7"/>
  <c r="C1" i="7"/>
  <c r="D1" i="7"/>
  <c r="E1" i="7"/>
  <c r="F1" i="7"/>
  <c r="G1" i="7"/>
  <c r="H1" i="7"/>
  <c r="I1" i="7"/>
  <c r="J1" i="7"/>
  <c r="K1" i="7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C10" i="7"/>
  <c r="D4" i="7"/>
  <c r="D9" i="7"/>
  <c r="D10" i="7"/>
  <c r="E4" i="7"/>
  <c r="E9" i="7"/>
  <c r="E10" i="7"/>
  <c r="F4" i="7"/>
  <c r="F9" i="7"/>
  <c r="F10" i="7"/>
  <c r="G4" i="7"/>
  <c r="G9" i="7"/>
  <c r="G10" i="7"/>
  <c r="H4" i="7"/>
  <c r="H9" i="7"/>
  <c r="H10" i="7"/>
  <c r="I4" i="7"/>
  <c r="I9" i="7"/>
  <c r="I10" i="7"/>
  <c r="J4" i="7"/>
  <c r="J9" i="7"/>
  <c r="J10" i="7"/>
  <c r="K4" i="7"/>
  <c r="K9" i="7"/>
  <c r="K10" i="7"/>
  <c r="L4" i="7"/>
  <c r="H34" i="3"/>
  <c r="G34" i="3"/>
  <c r="F34" i="3"/>
  <c r="E34" i="3"/>
  <c r="J34" i="3"/>
  <c r="I34" i="3"/>
  <c r="L9" i="7"/>
  <c r="L10" i="7"/>
  <c r="M4" i="7"/>
  <c r="H35" i="3"/>
  <c r="H36" i="3"/>
  <c r="G35" i="3"/>
  <c r="G36" i="3"/>
  <c r="F35" i="3"/>
  <c r="F36" i="3"/>
  <c r="J35" i="3"/>
  <c r="J36" i="3"/>
  <c r="I35" i="3"/>
  <c r="I36" i="3"/>
  <c r="E35" i="3"/>
  <c r="E36" i="3"/>
  <c r="D34" i="3"/>
  <c r="C34" i="3"/>
  <c r="E35" i="1"/>
  <c r="M9" i="7"/>
  <c r="M10" i="7"/>
  <c r="N4" i="7"/>
  <c r="D35" i="3"/>
  <c r="D36" i="3"/>
  <c r="C35" i="3"/>
  <c r="C36" i="3"/>
  <c r="B36" i="3"/>
  <c r="M72" i="5"/>
  <c r="M25" i="5"/>
  <c r="M41" i="5"/>
  <c r="L72" i="5"/>
  <c r="L25" i="5"/>
  <c r="L41" i="5"/>
  <c r="K72" i="5"/>
  <c r="K25" i="5"/>
  <c r="K41" i="5"/>
  <c r="J72" i="5"/>
  <c r="J25" i="5"/>
  <c r="J41" i="5"/>
  <c r="I72" i="5"/>
  <c r="I25" i="5"/>
  <c r="I41" i="5"/>
  <c r="H72" i="5"/>
  <c r="H25" i="5"/>
  <c r="H41" i="5"/>
  <c r="G72" i="5"/>
  <c r="G25" i="5"/>
  <c r="G41" i="5"/>
  <c r="F72" i="5"/>
  <c r="E72" i="5"/>
  <c r="D72" i="5"/>
  <c r="F25" i="5"/>
  <c r="F41" i="5"/>
  <c r="E41" i="5"/>
  <c r="D25" i="5"/>
  <c r="N9" i="7"/>
  <c r="N10" i="7"/>
  <c r="O4" i="7"/>
  <c r="D41" i="5"/>
  <c r="M91" i="5"/>
  <c r="L91" i="5"/>
  <c r="K91" i="5"/>
  <c r="J91" i="5"/>
  <c r="I91" i="5"/>
  <c r="H91" i="5"/>
  <c r="E91" i="5"/>
  <c r="O10" i="7"/>
  <c r="P4" i="7"/>
  <c r="O9" i="7"/>
  <c r="D91" i="5"/>
  <c r="P10" i="7"/>
  <c r="Q4" i="7"/>
  <c r="P9" i="7"/>
  <c r="Q10" i="7"/>
  <c r="R4" i="7"/>
  <c r="Q9" i="7"/>
  <c r="R9" i="7"/>
  <c r="R10" i="7"/>
  <c r="S4" i="7"/>
  <c r="S9" i="7"/>
  <c r="S10" i="7"/>
  <c r="T4" i="7"/>
  <c r="T10" i="7"/>
  <c r="U4" i="7"/>
  <c r="T9" i="7"/>
  <c r="U10" i="7"/>
  <c r="U9" i="7"/>
  <c r="W7" i="16"/>
  <c r="W9" i="16"/>
  <c r="W23" i="16"/>
  <c r="F23" i="16"/>
  <c r="G9" i="16"/>
  <c r="G23" i="16"/>
  <c r="B9" i="16"/>
</calcChain>
</file>

<file path=xl/sharedStrings.xml><?xml version="1.0" encoding="utf-8"?>
<sst xmlns="http://schemas.openxmlformats.org/spreadsheetml/2006/main" count="523" uniqueCount="210">
  <si>
    <t>ENTRATE</t>
  </si>
  <si>
    <t>Legenda:</t>
  </si>
  <si>
    <t>ACCERTAMENTI</t>
  </si>
  <si>
    <t>Utilizzo avanzo accantonato</t>
  </si>
  <si>
    <t>Utilizzo avanzo vincolato</t>
  </si>
  <si>
    <t>Fondo pluriennale vincolato di entrata per spese correnti</t>
  </si>
  <si>
    <t>Fondo pluriennale vincolato di entrata per spese in conto capitale</t>
  </si>
  <si>
    <t>TITOLO 1 - Entrate correnti di natura tributaria, contributiva e perequativa</t>
  </si>
  <si>
    <t>di cui non ricorrenti</t>
  </si>
  <si>
    <t>TITOLO 2 - Trasferimenti correnti</t>
  </si>
  <si>
    <t>TITOLO 3 - Entrate extratributarie</t>
  </si>
  <si>
    <t>TITOLO 4 - Entrate in conto capitale</t>
  </si>
  <si>
    <t>di cui destinati a spesa corrente derivanti da:</t>
  </si>
  <si>
    <t>- Contributi agli investimenti direttamente destinati al rimborso dei prestiti da amministrazioni pubbliche</t>
  </si>
  <si>
    <t>- Alienazioni patrimoniali a copertura disavanzo</t>
  </si>
  <si>
    <t>- Alienazioni patrimoniali a copertura di spese correnti in deroga (specificare …)</t>
  </si>
  <si>
    <t>- Alienazioni patrimoniali a copertura estinzione del debito (……)</t>
  </si>
  <si>
    <t>TITOLO 5 - Entrate da riduzione di attività finanziarie</t>
  </si>
  <si>
    <t>TITOLO 6 - Accensione di prestiti</t>
  </si>
  <si>
    <t>di cui:</t>
  </si>
  <si>
    <t>- Fondo di Rotazione</t>
  </si>
  <si>
    <t>- mutui in deroga limiti art 204 c. 1 Tuel per Debiti fuori bilancio</t>
  </si>
  <si>
    <t>- mutui in deroga limiti art 204 c. 1 Tuel per investimenti finalizzati a risparmi funzionali di spesa</t>
  </si>
  <si>
    <t>- altre deroghe (specificare)</t>
  </si>
  <si>
    <t>Titolo 7: Anticipazioni da istituto tesoriere/cassiere</t>
  </si>
  <si>
    <t>Titolo 9: Entrate per conto terzi e partite di giro</t>
  </si>
  <si>
    <t>TOTALE</t>
  </si>
  <si>
    <t>SPESE</t>
  </si>
  <si>
    <t xml:space="preserve">IMPEGNI E FPV </t>
  </si>
  <si>
    <t>TITOLO 1 - Spese correnti</t>
  </si>
  <si>
    <t>101 Redditi da lavoro dipendente</t>
  </si>
  <si>
    <t>102 Imposte e tasse a carico dell’ente</t>
  </si>
  <si>
    <t>103 Acquisto di beni e servizi</t>
  </si>
  <si>
    <t>104 Trasferimenti correnti</t>
  </si>
  <si>
    <t>107 Interessi passivi</t>
  </si>
  <si>
    <t xml:space="preserve">108 Altre spese per redditi da capitale </t>
  </si>
  <si>
    <t>109 Rimborsi e poste correttive delle entrate</t>
  </si>
  <si>
    <t>110 Altre spese correnti</t>
  </si>
  <si>
    <t>Di cui:</t>
  </si>
  <si>
    <t>- Acc.to Fondo Crediti di Dubbia Esigibilità</t>
  </si>
  <si>
    <t>- Acc.to Fondo Contenzioso (cfr. analisi contenzioso e progressività costituzione FRC)</t>
  </si>
  <si>
    <t>- Acc.to Passività Potenziali</t>
  </si>
  <si>
    <t>- Altri accantonamenti</t>
  </si>
  <si>
    <t>- Fondo Rischi da sopravvenienze piano</t>
  </si>
  <si>
    <t>- debiti fuori bilancio (cfr. analisi debiti fuori bilancio)</t>
  </si>
  <si>
    <t>- altri oneri straordinari</t>
  </si>
  <si>
    <t>TITOLO 2 - Spese in conto capitale</t>
  </si>
  <si>
    <t>- Debiti fuori bilancio</t>
  </si>
  <si>
    <t>- risparmi di gestione finalizzati all'attuazione del piano</t>
  </si>
  <si>
    <t>- Altro (specificare)</t>
  </si>
  <si>
    <t>TITOLO 3 - Spese per incremento di attività finanziarie</t>
  </si>
  <si>
    <t>TITOLO 4 - Rimborso di prestiti</t>
  </si>
  <si>
    <t>- in deroga art 204 c. 1 (specificare)</t>
  </si>
  <si>
    <t>TITOLO 5 - Chiusura Anticipazioni ricevute da istituto tesoriere/cassiere</t>
  </si>
  <si>
    <t>TITOLO 7: Uscite per conto terzi e partite di giro</t>
  </si>
  <si>
    <t>TITOLO 6- Accensione di prestiti</t>
  </si>
  <si>
    <t>Previsioni</t>
  </si>
  <si>
    <t>QUOTA DISAVANZO DA RIPIANARE NELL'ESERCIZIO</t>
  </si>
  <si>
    <t>T Entrate Totali</t>
  </si>
  <si>
    <t>EQUILIBRIO ECONOMICO-FINANZIARIO</t>
  </si>
  <si>
    <t xml:space="preserve">Fondo di cassa all'inizio dell'esercizio </t>
  </si>
  <si>
    <t>(+)</t>
  </si>
  <si>
    <t>AA) Recupero disavanzo di amministrazione esercizio precedente</t>
  </si>
  <si>
    <t>(-)</t>
  </si>
  <si>
    <t>B) Entrate Titoli 1.00 - 2.00 - 3.00</t>
  </si>
  <si>
    <t xml:space="preserve">    di cui per estinzione anticipata di prestiti</t>
  </si>
  <si>
    <t>C) Entrate Titolo 4.02.06 - Contributi agli investimenti direttamente destinati al rimborso dei prestiti da amministrazioni pubbliche</t>
  </si>
  <si>
    <t>E) Spese Titolo 2.04 -  Altri trasferimenti in conto capitale</t>
  </si>
  <si>
    <t>F) Spese Titolo 4.00 -  Quote di capitale amm.to dei mutui e prestiti obbligazionari</t>
  </si>
  <si>
    <t>I) Entrate di parte capitale destinate a spese correnti in base a specifiche disposizioni di legge o  dei principi contabili</t>
  </si>
  <si>
    <t>L) Entrate di parte corrente destinate a spese di investimento in base a specifiche disposizioni di legge o dei principi contabili</t>
  </si>
  <si>
    <t>M) Entrate da accensione di prestiti destinate a estinzione anticipata dei prestiti</t>
  </si>
  <si>
    <t>O=G+H+I-L+M</t>
  </si>
  <si>
    <t>R) Entrate Titoli 4.00-5.00-6.00</t>
  </si>
  <si>
    <t>S1) Entrate Titolo 5.02 per Riscossione crediti di breve termine</t>
  </si>
  <si>
    <t>S2) Entrate Titolo 5.03 per Riscossione crediti di medio-lungo termine</t>
  </si>
  <si>
    <t>U) Spese Titolo 2.00 - Spese in conto capitale</t>
  </si>
  <si>
    <t>V) Spese Titolo 3.01 per Acquisizioni di attività finanziarie</t>
  </si>
  <si>
    <t>EQUILIBRIO DI PARTE CAPITALE</t>
  </si>
  <si>
    <t>X1) Spese Titolo 3.02 per Concessione crediti di breve termine</t>
  </si>
  <si>
    <t>X2) Spese Titolo 3.03 per Concessione crediti di medio-lungo termine</t>
  </si>
  <si>
    <t>EQUILIBRIO FINALE</t>
  </si>
  <si>
    <t>W = O+Z+S1+S2+T-X1-X2-Y</t>
  </si>
  <si>
    <t>A) Fondo pluriennale vincolato di entrata per spese correnti</t>
  </si>
  <si>
    <t>D)Spese Titolo 1.00 -  Spese correnti</t>
  </si>
  <si>
    <t xml:space="preserve">     di cui:</t>
  </si>
  <si>
    <t xml:space="preserve">               - fondo pluriennale vincolato</t>
  </si>
  <si>
    <t xml:space="preserve">               - fondo crediti di dubbia esigibilità </t>
  </si>
  <si>
    <t xml:space="preserve">   di cui  Fondo anticipazioni di liquidità </t>
  </si>
  <si>
    <t xml:space="preserve"> G) Somma finale (G=A-AA+B+C-D-E-F)</t>
  </si>
  <si>
    <t>ALTRE POSTE DIFFERENZIALI, PER ECCEZIONI PREVISTE DA NORME DI LEGGE E DA PRINCIPI CONTABILI, CHE  HANNO EFFETTO SULL’EQUILIBRIO  EX ARTICOLO 162, COMMA 6,  DEL TESTO UNICO DELLE LEGGI SULL’ORDINAMENTO DEGLI ENTI LOCALI</t>
  </si>
  <si>
    <r>
      <t xml:space="preserve">H) Utilizzo risultato  di amministrazione presunto per spese correnti </t>
    </r>
    <r>
      <rPr>
        <sz val="11"/>
        <rFont val="Calibri"/>
        <family val="2"/>
      </rPr>
      <t>e per  rimborso dei prestiti</t>
    </r>
    <r>
      <rPr>
        <vertAlign val="superscript"/>
        <sz val="11"/>
        <rFont val="Calibri"/>
        <family val="2"/>
      </rPr>
      <t>(2)</t>
    </r>
  </si>
  <si>
    <r>
      <t xml:space="preserve">EQUILIBRIO DI PARTE CORRENTE </t>
    </r>
    <r>
      <rPr>
        <b/>
        <vertAlign val="superscript"/>
        <sz val="11"/>
        <color indexed="8"/>
        <rFont val="Calibri"/>
        <family val="2"/>
      </rPr>
      <t>(3)</t>
    </r>
  </si>
  <si>
    <r>
      <t>P) Utilizzo risultato di amministrazione presunto   per spese di investimento</t>
    </r>
    <r>
      <rPr>
        <vertAlign val="superscript"/>
        <sz val="11"/>
        <color indexed="8"/>
        <rFont val="Calibri"/>
        <family val="2"/>
      </rPr>
      <t xml:space="preserve"> (2)</t>
    </r>
  </si>
  <si>
    <t>Q) Fondo pluriennale vincolato di entrata per spese in conto capitale</t>
  </si>
  <si>
    <t>T) Entrate Titolo 5.04 relative a Altre entrate per riduzioni di attività finanziaria</t>
  </si>
  <si>
    <t xml:space="preserve">     di cui fondo pluriennale vincolato di spesa</t>
  </si>
  <si>
    <t>Z = P+Q+R-C-I-S1-S2-T+L-M-U-V+E</t>
  </si>
  <si>
    <t>Y) Spese Titolo 3.04 per Altre spese per acquisizioni di attività finanziarie</t>
  </si>
  <si>
    <t>ENTRATA</t>
  </si>
  <si>
    <t>NATURA DEL DISAVANZO DI AMMINISTRAZIONE</t>
  </si>
  <si>
    <t>(A)</t>
  </si>
  <si>
    <t>Esercizio</t>
  </si>
  <si>
    <t>Disavanzo da piano di riequilibrio finanziario pluriennale</t>
  </si>
  <si>
    <t>AMMONTARE COMPLESSIVO DEL DISAVANZO DA RIPIANARE</t>
  </si>
  <si>
    <t>RIPIANO ESERCIZIO</t>
  </si>
  <si>
    <t>Disavanzo di amministrazione iniziale da ripianare:</t>
  </si>
  <si>
    <r>
      <t xml:space="preserve">Disavanzo residuo* </t>
    </r>
    <r>
      <rPr>
        <b/>
        <sz val="12"/>
        <color theme="1"/>
        <rFont val="Arial"/>
        <family val="2"/>
      </rPr>
      <t xml:space="preserve">(B) </t>
    </r>
    <r>
      <rPr>
        <vertAlign val="superscript"/>
        <sz val="12"/>
        <color theme="1"/>
        <rFont val="Arial"/>
        <family val="2"/>
      </rPr>
      <t>(3)</t>
    </r>
  </si>
  <si>
    <r>
      <t xml:space="preserve">Quota di ripiano per anno </t>
    </r>
    <r>
      <rPr>
        <b/>
        <sz val="12"/>
        <color theme="1"/>
        <rFont val="Arial"/>
        <family val="2"/>
      </rPr>
      <t>(C)</t>
    </r>
  </si>
  <si>
    <r>
      <t xml:space="preserve">Importo percentuale** </t>
    </r>
    <r>
      <rPr>
        <b/>
        <sz val="12"/>
        <color theme="1"/>
        <rFont val="Arial"/>
        <family val="2"/>
      </rPr>
      <t xml:space="preserve">(C/A)*100 </t>
    </r>
    <r>
      <rPr>
        <vertAlign val="superscript"/>
        <sz val="12"/>
        <color theme="1"/>
        <rFont val="Arial"/>
        <family val="2"/>
      </rPr>
      <t>(4)</t>
    </r>
  </si>
  <si>
    <r>
      <t xml:space="preserve">Quota residua di disavanzo da ripianare </t>
    </r>
    <r>
      <rPr>
        <b/>
        <sz val="8"/>
        <color theme="1"/>
        <rFont val="Arial"/>
        <family val="2"/>
      </rPr>
      <t>(B-C)</t>
    </r>
  </si>
  <si>
    <t>Incremento % di aliquota*</t>
  </si>
  <si>
    <t>Accertamenti previsti</t>
  </si>
  <si>
    <t>nell’esercizio</t>
  </si>
  <si>
    <t>IMU</t>
  </si>
  <si>
    <t>TARI</t>
  </si>
  <si>
    <t>ADD. IRPEF</t>
  </si>
  <si>
    <t>Canone Unico Patrimoniale</t>
  </si>
  <si>
    <t>Proventi</t>
  </si>
  <si>
    <t>Costi</t>
  </si>
  <si>
    <t>% di copertura prevista</t>
  </si>
  <si>
    <t>SERVIZI A DOMANDA INDIVIDUALE</t>
  </si>
  <si>
    <t>Mensa scolastica</t>
  </si>
  <si>
    <t>Copertura media servizi a domanda individuale</t>
  </si>
  <si>
    <t>Titolo 1 – Tributi propri</t>
  </si>
  <si>
    <t>Titolo 2 - Trasferimenti correnti</t>
  </si>
  <si>
    <t>Titolo 3 – Entrate extratributarie</t>
  </si>
  <si>
    <t>a) Entrate Correnti</t>
  </si>
  <si>
    <t>b) Entrate Proprie (Titolo I e Titolo III)</t>
  </si>
  <si>
    <t>Incidenza % entrate proprie su entrate correnti (b/a)</t>
  </si>
  <si>
    <t>Variazione dell'incidenza rispetto anno n</t>
  </si>
  <si>
    <t>-</t>
  </si>
  <si>
    <t>Variazione assoluta della spesa corrente rispetto all’anno base (n) relativo all’ultimo rendiconto approvato</t>
  </si>
  <si>
    <t>Variazione % della spesa corrente rispetto all’anno base (n) relativo all’ultimo rendiconto approvato</t>
  </si>
  <si>
    <t>Titolo 1 – Spese correnti</t>
  </si>
  <si>
    <t>MANOVRA SPESE CORRENTI</t>
  </si>
  <si>
    <t>Macroaggregato 03 - Acquisizione beni e servizi</t>
  </si>
  <si>
    <t>Di cui</t>
  </si>
  <si>
    <t>Spese per il servizio di raccolta e smaltimento dei rifiuti solidi urbani</t>
  </si>
  <si>
    <t>Spese per il servizio idrico integrato</t>
  </si>
  <si>
    <t>Spese per la pubblica illuminazione</t>
  </si>
  <si>
    <t>Spese finanziate da entrate destinate e vincolate</t>
  </si>
  <si>
    <t>Spese rilevanti ai fini della riduzione delle spese correnti</t>
  </si>
  <si>
    <t>Macroaggregato 04 - Trasferimenti correnti*</t>
  </si>
  <si>
    <t>Finanziati da capitoli di entrata</t>
  </si>
  <si>
    <t>Trasferimenti ad altri livelli istituzionali</t>
  </si>
  <si>
    <t>Riduzione Macroaggregato 03 (-10%)</t>
  </si>
  <si>
    <t>Riduzione Macroaggregato 04 (-25%)</t>
  </si>
  <si>
    <t>Totale Riduzione Spesa Corrente</t>
  </si>
  <si>
    <t>Riduzione operata su macroaggregati 03 e 04</t>
  </si>
  <si>
    <t>Variazione %</t>
  </si>
  <si>
    <t>Spese per il funzionamento del Consiglio</t>
  </si>
  <si>
    <t>Spese per le indennità dei Consiglieri</t>
  </si>
  <si>
    <t>Gettoni di presenza dei Consiglieri</t>
  </si>
  <si>
    <t>Spese per il funzionamento della Giunta</t>
  </si>
  <si>
    <r>
      <t>Spese per le indennità degli Assessori</t>
    </r>
    <r>
      <rPr>
        <sz val="16"/>
        <color theme="1"/>
        <rFont val="Arial"/>
        <family val="2"/>
      </rPr>
      <t>*</t>
    </r>
  </si>
  <si>
    <t>Gettoni di presenza degli Assessori</t>
  </si>
  <si>
    <t>Totale</t>
  </si>
  <si>
    <t>…..</t>
  </si>
  <si>
    <t>Importo</t>
  </si>
  <si>
    <t>Totale debiti f.b. da ripianare*</t>
  </si>
  <si>
    <t>Sbilancio</t>
  </si>
  <si>
    <t>Ripiano Massa Passiva - Coperture</t>
  </si>
  <si>
    <t>Restituzione fondo di rotazione</t>
  </si>
  <si>
    <t>Disavanzo PRF</t>
  </si>
  <si>
    <t>\</t>
  </si>
  <si>
    <t>TARIFFE</t>
  </si>
  <si>
    <t>ALIQUOTA</t>
  </si>
  <si>
    <t>Recupero Evasione IMU</t>
  </si>
  <si>
    <t>Recupero Evasione TARI</t>
  </si>
  <si>
    <t>Lettera a) Sentenze esecutive</t>
  </si>
  <si>
    <t>Lettera b) copertura disavanzi</t>
  </si>
  <si>
    <t>Lettera c) ricapitalizzazioni</t>
  </si>
  <si>
    <t>Lettera d) procedure espropriative/oc cupazione d'urgenza</t>
  </si>
  <si>
    <t>Lettera e) acquisizione beni e servizi senza impegno di spesa</t>
  </si>
  <si>
    <t>Articolo 194 TUEL</t>
  </si>
  <si>
    <t>RENDICONTO ESERCIZIO 2023</t>
  </si>
  <si>
    <t>2029 e successivi</t>
  </si>
  <si>
    <t>Totale riduzione spesa corrente Base 2023</t>
  </si>
  <si>
    <t>Variazione % Rispetto al 2023</t>
  </si>
  <si>
    <t>ANNO 2024</t>
  </si>
  <si>
    <t>Disavanzo residuo da riaccertamento straordinario residui al 1/1/2015</t>
  </si>
  <si>
    <t>Debiti fuori bilancio lettera a)</t>
  </si>
  <si>
    <t>Debiti fuori bilancio lettera e)</t>
  </si>
  <si>
    <t>Contenzioso e passività potenziali</t>
  </si>
  <si>
    <t>Margine corrente</t>
  </si>
  <si>
    <t>IMPEGNI</t>
  </si>
  <si>
    <t>ACCANTONAMENTI STAZNIATI IN BILANCIO ED EFFETTUATI IN SEDE DI RENDICONTO</t>
  </si>
  <si>
    <t>SOMME NON IMPEGNATE</t>
  </si>
  <si>
    <t>Passività e fondo rischi da PRFP</t>
  </si>
  <si>
    <t>Disavanzo da riaccertamento straordinario dei residui al 1.1.2015</t>
  </si>
  <si>
    <t>* Le aliquote IMU e Addizionale IRPEF sono state già deliberate al massimo consentito per legge</t>
  </si>
  <si>
    <t>Recupero evasione canoni servizio idrico integrato</t>
  </si>
  <si>
    <t>Accantonamento FCDE</t>
  </si>
  <si>
    <t>Entrate al netto FCDE</t>
  </si>
  <si>
    <t>Entrate utilizzate (al netto del FCDE</t>
  </si>
  <si>
    <t>Differenza al netto degli oneri straordinari da piano di riequilibrio e degli accantonamenti in bilancio</t>
  </si>
  <si>
    <t>Restituzione fondo di rotazione articolo 243-ter Tuel</t>
  </si>
  <si>
    <t>Rendiconto 2023 (n)</t>
  </si>
  <si>
    <t>* nell'esercizio 2023 sono state sostenute spese solo per le indennità di Sindaco e Assessori comunali</t>
  </si>
  <si>
    <t>Totale **</t>
  </si>
  <si>
    <t>** Aumento delle indennità a seguito di previsione legislativa. Finanziata da Contributo Ministero Interno Anno 2024 per euro 9.175,08</t>
  </si>
  <si>
    <t>Rendiconto 2023</t>
  </si>
  <si>
    <t>Disavanzo da ripianare</t>
  </si>
  <si>
    <t>Importo scaduto e non pagato</t>
  </si>
  <si>
    <t>Tempo medio ponderato di pagamento</t>
  </si>
  <si>
    <t>Tempo medio ponderato di ritardo nei pagamenti</t>
  </si>
  <si>
    <t>Fatture ricevute nell'esercizio</t>
  </si>
  <si>
    <t>Situazione al 31/12/2023</t>
  </si>
  <si>
    <t>Situazione al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</si>
</sst>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#,##0.00_ ;\-#,##0.00\ "/>
    <numFmt numFmtId="166" formatCode="#,##0.00;[Red]#,##0.00"/>
    <numFmt numFmtId="167" formatCode="_-&quot;€&quot;\ * #,##0.00_-;\-&quot;€&quot;\ * #,##0.00_-;_-&quot;€&quot;\ * &quot;-&quot;??_-;_-@_-"/>
    <numFmt numFmtId="168" formatCode="_-&quot;€ &quot;* #,##0.00_-;&quot;-€ &quot;* #,##0.00_-;_-&quot;€ &quot;* \-??_-;_-@_-"/>
    <numFmt numFmtId="169" formatCode="0.0%"/>
  </numFmts>
  <fonts count="40">
    <font>
      <sz val="12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b/>
      <vertAlign val="superscript"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vertAlign val="superscript"/>
      <sz val="12"/>
      <color theme="1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4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indexed="8"/>
      <name val="Helv"/>
    </font>
    <font>
      <b/>
      <sz val="9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1"/>
      <name val="Calibri 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</font>
    <font>
      <i/>
      <sz val="12"/>
      <color theme="1"/>
      <name val="Calibri"/>
      <family val="2"/>
      <scheme val="minor"/>
    </font>
    <font>
      <i/>
      <sz val="8"/>
      <name val="Arial"/>
      <family val="2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4D4D4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1" fillId="0" borderId="0"/>
  </cellStyleXfs>
  <cellXfs count="27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2"/>
    <xf numFmtId="0" fontId="5" fillId="0" borderId="0" xfId="2" applyAlignment="1">
      <alignment horizontal="center"/>
    </xf>
    <xf numFmtId="0" fontId="6" fillId="0" borderId="14" xfId="2" applyFont="1" applyBorder="1" applyAlignment="1">
      <alignment horizontal="center" vertical="center" wrapText="1"/>
    </xf>
    <xf numFmtId="0" fontId="5" fillId="0" borderId="0" xfId="2" applyAlignment="1">
      <alignment horizontal="left"/>
    </xf>
    <xf numFmtId="165" fontId="5" fillId="0" borderId="15" xfId="2" applyNumberFormat="1" applyBorder="1" applyAlignment="1">
      <alignment horizontal="left"/>
    </xf>
    <xf numFmtId="165" fontId="5" fillId="0" borderId="16" xfId="2" applyNumberFormat="1" applyBorder="1" applyAlignment="1">
      <alignment horizontal="center"/>
    </xf>
    <xf numFmtId="165" fontId="5" fillId="0" borderId="17" xfId="2" applyNumberFormat="1" applyBorder="1" applyAlignment="1">
      <alignment horizontal="center"/>
    </xf>
    <xf numFmtId="165" fontId="5" fillId="0" borderId="16" xfId="2" applyNumberFormat="1" applyBorder="1"/>
    <xf numFmtId="165" fontId="5" fillId="0" borderId="18" xfId="2" applyNumberFormat="1" applyBorder="1"/>
    <xf numFmtId="165" fontId="7" fillId="0" borderId="19" xfId="2" applyNumberFormat="1" applyFont="1" applyBorder="1" applyAlignment="1">
      <alignment horizontal="left"/>
    </xf>
    <xf numFmtId="165" fontId="5" fillId="0" borderId="11" xfId="2" applyNumberFormat="1" applyBorder="1" applyAlignment="1">
      <alignment horizontal="center"/>
    </xf>
    <xf numFmtId="165" fontId="8" fillId="0" borderId="11" xfId="2" applyNumberFormat="1" applyFont="1" applyBorder="1" applyAlignment="1">
      <alignment horizontal="center" vertical="center" wrapText="1"/>
    </xf>
    <xf numFmtId="165" fontId="5" fillId="0" borderId="11" xfId="2" applyNumberFormat="1" applyBorder="1"/>
    <xf numFmtId="165" fontId="5" fillId="0" borderId="20" xfId="2" applyNumberFormat="1" applyBorder="1"/>
    <xf numFmtId="165" fontId="5" fillId="0" borderId="15" xfId="2" applyNumberFormat="1" applyBorder="1"/>
    <xf numFmtId="165" fontId="5" fillId="0" borderId="21" xfId="2" applyNumberFormat="1" applyBorder="1"/>
    <xf numFmtId="165" fontId="5" fillId="0" borderId="22" xfId="2" applyNumberFormat="1" applyBorder="1"/>
    <xf numFmtId="165" fontId="5" fillId="0" borderId="23" xfId="2" applyNumberFormat="1" applyBorder="1" applyAlignment="1">
      <alignment horizontal="center"/>
    </xf>
    <xf numFmtId="165" fontId="5" fillId="0" borderId="0" xfId="2" applyNumberFormat="1"/>
    <xf numFmtId="165" fontId="5" fillId="0" borderId="24" xfId="2" applyNumberFormat="1" applyBorder="1" applyAlignment="1">
      <alignment horizontal="center"/>
    </xf>
    <xf numFmtId="165" fontId="5" fillId="0" borderId="25" xfId="2" applyNumberFormat="1" applyBorder="1" applyAlignment="1">
      <alignment horizontal="center"/>
    </xf>
    <xf numFmtId="165" fontId="5" fillId="0" borderId="22" xfId="2" applyNumberFormat="1" applyBorder="1" applyAlignment="1">
      <alignment wrapText="1"/>
    </xf>
    <xf numFmtId="165" fontId="9" fillId="0" borderId="22" xfId="2" applyNumberFormat="1" applyFont="1" applyBorder="1"/>
    <xf numFmtId="165" fontId="9" fillId="0" borderId="23" xfId="2" applyNumberFormat="1" applyFont="1" applyBorder="1" applyAlignment="1">
      <alignment horizontal="center"/>
    </xf>
    <xf numFmtId="165" fontId="9" fillId="0" borderId="24" xfId="2" applyNumberFormat="1" applyFont="1" applyBorder="1" applyAlignment="1">
      <alignment horizontal="center"/>
    </xf>
    <xf numFmtId="165" fontId="9" fillId="0" borderId="0" xfId="2" applyNumberFormat="1" applyFont="1"/>
    <xf numFmtId="165" fontId="10" fillId="0" borderId="22" xfId="2" applyNumberFormat="1" applyFont="1" applyBorder="1" applyAlignment="1">
      <alignment horizontal="right"/>
    </xf>
    <xf numFmtId="165" fontId="10" fillId="0" borderId="23" xfId="2" applyNumberFormat="1" applyFont="1" applyBorder="1" applyAlignment="1">
      <alignment horizontal="center"/>
    </xf>
    <xf numFmtId="165" fontId="10" fillId="0" borderId="0" xfId="2" applyNumberFormat="1" applyFont="1"/>
    <xf numFmtId="165" fontId="10" fillId="0" borderId="24" xfId="2" applyNumberFormat="1" applyFont="1" applyBorder="1" applyAlignment="1">
      <alignment horizontal="center"/>
    </xf>
    <xf numFmtId="165" fontId="5" fillId="0" borderId="19" xfId="2" applyNumberFormat="1" applyBorder="1"/>
    <xf numFmtId="165" fontId="5" fillId="0" borderId="26" xfId="2" applyNumberFormat="1" applyBorder="1"/>
    <xf numFmtId="165" fontId="5" fillId="0" borderId="20" xfId="2" applyNumberFormat="1" applyBorder="1" applyAlignment="1">
      <alignment horizontal="center"/>
    </xf>
    <xf numFmtId="165" fontId="5" fillId="0" borderId="18" xfId="2" applyNumberFormat="1" applyBorder="1" applyAlignment="1">
      <alignment horizontal="center"/>
    </xf>
    <xf numFmtId="165" fontId="11" fillId="0" borderId="22" xfId="2" applyNumberFormat="1" applyFont="1" applyBorder="1" applyAlignment="1">
      <alignment wrapText="1"/>
    </xf>
    <xf numFmtId="165" fontId="10" fillId="0" borderId="29" xfId="2" applyNumberFormat="1" applyFont="1" applyBorder="1" applyAlignment="1">
      <alignment horizontal="right"/>
    </xf>
    <xf numFmtId="165" fontId="5" fillId="0" borderId="30" xfId="2" applyNumberFormat="1" applyBorder="1" applyAlignment="1">
      <alignment horizontal="center"/>
    </xf>
    <xf numFmtId="165" fontId="5" fillId="0" borderId="31" xfId="2" applyNumberFormat="1" applyBorder="1"/>
    <xf numFmtId="165" fontId="10" fillId="0" borderId="30" xfId="2" applyNumberFormat="1" applyFont="1" applyBorder="1" applyAlignment="1">
      <alignment horizontal="center"/>
    </xf>
    <xf numFmtId="165" fontId="10" fillId="0" borderId="32" xfId="2" applyNumberFormat="1" applyFont="1" applyBorder="1" applyAlignment="1">
      <alignment horizontal="center"/>
    </xf>
    <xf numFmtId="165" fontId="5" fillId="0" borderId="33" xfId="2" applyNumberFormat="1" applyBorder="1"/>
    <xf numFmtId="165" fontId="5" fillId="0" borderId="0" xfId="2" applyNumberFormat="1" applyAlignment="1">
      <alignment horizontal="left"/>
    </xf>
    <xf numFmtId="165" fontId="5" fillId="0" borderId="0" xfId="2" applyNumberFormat="1" applyAlignment="1">
      <alignment horizontal="center"/>
    </xf>
    <xf numFmtId="166" fontId="2" fillId="0" borderId="5" xfId="0" applyNumberFormat="1" applyFont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6" fontId="2" fillId="3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0" fillId="0" borderId="9" xfId="0" applyNumberFormat="1" applyBorder="1"/>
    <xf numFmtId="0" fontId="0" fillId="3" borderId="1" xfId="0" applyFill="1" applyBorder="1"/>
    <xf numFmtId="166" fontId="2" fillId="3" borderId="1" xfId="0" applyNumberFormat="1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vertical="center" wrapText="1"/>
    </xf>
    <xf numFmtId="43" fontId="17" fillId="0" borderId="38" xfId="0" applyNumberFormat="1" applyFont="1" applyBorder="1" applyAlignment="1">
      <alignment vertical="center" wrapText="1"/>
    </xf>
    <xf numFmtId="0" fontId="17" fillId="0" borderId="37" xfId="0" applyFont="1" applyBorder="1" applyAlignment="1">
      <alignment horizontal="center" vertical="center" wrapText="1"/>
    </xf>
    <xf numFmtId="9" fontId="17" fillId="0" borderId="38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37" xfId="0" applyFont="1" applyBorder="1" applyAlignment="1">
      <alignment vertical="center" wrapText="1"/>
    </xf>
    <xf numFmtId="43" fontId="0" fillId="0" borderId="0" xfId="0" applyNumberFormat="1"/>
    <xf numFmtId="10" fontId="0" fillId="0" borderId="0" xfId="5" applyNumberFormat="1" applyFont="1"/>
    <xf numFmtId="0" fontId="19" fillId="0" borderId="43" xfId="0" applyFont="1" applyBorder="1" applyAlignment="1">
      <alignment horizontal="center" vertical="center" textRotation="180" wrapText="1"/>
    </xf>
    <xf numFmtId="0" fontId="19" fillId="0" borderId="8" xfId="0" applyFont="1" applyBorder="1" applyAlignment="1">
      <alignment horizontal="center" vertical="center" textRotation="180" wrapText="1"/>
    </xf>
    <xf numFmtId="0" fontId="19" fillId="0" borderId="40" xfId="0" applyFont="1" applyBorder="1" applyAlignment="1">
      <alignment horizontal="center" vertical="center" textRotation="180" wrapText="1"/>
    </xf>
    <xf numFmtId="0" fontId="19" fillId="0" borderId="45" xfId="0" applyFont="1" applyBorder="1" applyAlignment="1">
      <alignment horizontal="center" vertical="center" textRotation="180" wrapText="1"/>
    </xf>
    <xf numFmtId="0" fontId="19" fillId="0" borderId="48" xfId="0" applyFont="1" applyBorder="1" applyAlignment="1">
      <alignment horizontal="center" vertical="center" textRotation="180" wrapText="1"/>
    </xf>
    <xf numFmtId="0" fontId="19" fillId="0" borderId="5" xfId="0" applyFont="1" applyBorder="1" applyAlignment="1">
      <alignment horizontal="center" vertical="center" textRotation="180" wrapText="1"/>
    </xf>
    <xf numFmtId="0" fontId="0" fillId="0" borderId="9" xfId="0" applyBorder="1"/>
    <xf numFmtId="0" fontId="22" fillId="0" borderId="0" xfId="6" applyFont="1"/>
    <xf numFmtId="0" fontId="23" fillId="0" borderId="0" xfId="6" applyFont="1"/>
    <xf numFmtId="0" fontId="21" fillId="0" borderId="0" xfId="6"/>
    <xf numFmtId="0" fontId="25" fillId="0" borderId="0" xfId="6" applyFont="1"/>
    <xf numFmtId="43" fontId="17" fillId="0" borderId="38" xfId="4" applyNumberFormat="1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10" fontId="17" fillId="0" borderId="38" xfId="5" applyNumberFormat="1" applyFont="1" applyBorder="1" applyAlignment="1">
      <alignment horizontal="center" vertical="center" wrapText="1"/>
    </xf>
    <xf numFmtId="43" fontId="17" fillId="0" borderId="38" xfId="4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7" fillId="0" borderId="9" xfId="0" applyFont="1" applyBorder="1" applyAlignment="1">
      <alignment vertical="center" wrapText="1"/>
    </xf>
    <xf numFmtId="0" fontId="27" fillId="0" borderId="9" xfId="0" applyFont="1" applyBorder="1" applyAlignment="1">
      <alignment horizontal="center" vertical="center" wrapText="1"/>
    </xf>
    <xf numFmtId="0" fontId="28" fillId="0" borderId="9" xfId="0" applyFont="1" applyBorder="1" applyAlignment="1">
      <alignment vertical="center"/>
    </xf>
    <xf numFmtId="10" fontId="29" fillId="0" borderId="9" xfId="5" applyNumberFormat="1" applyFont="1" applyBorder="1" applyAlignment="1">
      <alignment horizontal="center" vertical="center"/>
    </xf>
    <xf numFmtId="0" fontId="30" fillId="0" borderId="9" xfId="0" applyFont="1" applyBorder="1" applyAlignment="1">
      <alignment horizontal="left" vertical="center"/>
    </xf>
    <xf numFmtId="43" fontId="31" fillId="0" borderId="9" xfId="4" applyNumberFormat="1" applyFont="1" applyBorder="1" applyAlignment="1">
      <alignment vertical="center"/>
    </xf>
    <xf numFmtId="43" fontId="31" fillId="0" borderId="9" xfId="1" applyFont="1" applyBorder="1" applyAlignment="1">
      <alignment vertical="center"/>
    </xf>
    <xf numFmtId="10" fontId="27" fillId="0" borderId="9" xfId="0" applyNumberFormat="1" applyFont="1" applyBorder="1" applyAlignment="1">
      <alignment horizontal="right" vertical="center"/>
    </xf>
    <xf numFmtId="0" fontId="31" fillId="0" borderId="9" xfId="0" applyFont="1" applyBorder="1" applyAlignment="1">
      <alignment vertical="center"/>
    </xf>
    <xf numFmtId="43" fontId="32" fillId="0" borderId="9" xfId="4" applyNumberFormat="1" applyFont="1" applyBorder="1" applyAlignment="1">
      <alignment horizontal="center"/>
    </xf>
    <xf numFmtId="43" fontId="29" fillId="0" borderId="9" xfId="1" applyFont="1" applyBorder="1" applyAlignment="1">
      <alignment horizontal="center" vertical="center"/>
    </xf>
    <xf numFmtId="43" fontId="29" fillId="0" borderId="9" xfId="5" applyNumberFormat="1" applyFont="1" applyBorder="1" applyAlignment="1">
      <alignment horizontal="right" vertical="center"/>
    </xf>
    <xf numFmtId="0" fontId="31" fillId="0" borderId="0" xfId="0" applyFont="1"/>
    <xf numFmtId="44" fontId="29" fillId="0" borderId="9" xfId="4" applyFont="1" applyFill="1" applyBorder="1" applyAlignment="1">
      <alignment vertical="center"/>
    </xf>
    <xf numFmtId="44" fontId="31" fillId="0" borderId="9" xfId="4" applyFont="1" applyBorder="1" applyAlignment="1">
      <alignment vertical="center"/>
    </xf>
    <xf numFmtId="44" fontId="29" fillId="0" borderId="9" xfId="4" applyFont="1" applyBorder="1" applyAlignment="1">
      <alignment vertical="center"/>
    </xf>
    <xf numFmtId="0" fontId="15" fillId="0" borderId="16" xfId="0" applyFont="1" applyBorder="1"/>
    <xf numFmtId="43" fontId="15" fillId="0" borderId="16" xfId="0" applyNumberFormat="1" applyFont="1" applyBorder="1"/>
    <xf numFmtId="0" fontId="15" fillId="0" borderId="51" xfId="0" applyFont="1" applyBorder="1"/>
    <xf numFmtId="43" fontId="15" fillId="0" borderId="52" xfId="0" applyNumberFormat="1" applyFont="1" applyBorder="1"/>
    <xf numFmtId="43" fontId="16" fillId="0" borderId="1" xfId="0" applyNumberFormat="1" applyFont="1" applyBorder="1" applyAlignment="1">
      <alignment vertical="center" wrapText="1"/>
    </xf>
    <xf numFmtId="0" fontId="34" fillId="0" borderId="0" xfId="0" applyFont="1"/>
    <xf numFmtId="4" fontId="34" fillId="0" borderId="0" xfId="0" applyNumberFormat="1" applyFont="1"/>
    <xf numFmtId="0" fontId="34" fillId="0" borderId="9" xfId="0" applyFont="1" applyBorder="1"/>
    <xf numFmtId="43" fontId="34" fillId="0" borderId="9" xfId="0" applyNumberFormat="1" applyFont="1" applyBorder="1"/>
    <xf numFmtId="43" fontId="35" fillId="7" borderId="9" xfId="0" applyNumberFormat="1" applyFont="1" applyFill="1" applyBorder="1"/>
    <xf numFmtId="4" fontId="35" fillId="7" borderId="9" xfId="0" applyNumberFormat="1" applyFont="1" applyFill="1" applyBorder="1"/>
    <xf numFmtId="0" fontId="35" fillId="7" borderId="9" xfId="0" applyFont="1" applyFill="1" applyBorder="1"/>
    <xf numFmtId="43" fontId="35" fillId="0" borderId="9" xfId="0" applyNumberFormat="1" applyFont="1" applyBorder="1"/>
    <xf numFmtId="43" fontId="35" fillId="9" borderId="9" xfId="0" applyNumberFormat="1" applyFont="1" applyFill="1" applyBorder="1"/>
    <xf numFmtId="43" fontId="34" fillId="0" borderId="10" xfId="0" applyNumberFormat="1" applyFont="1" applyBorder="1"/>
    <xf numFmtId="0" fontId="35" fillId="9" borderId="9" xfId="0" applyFont="1" applyFill="1" applyBorder="1" applyAlignment="1">
      <alignment horizontal="center"/>
    </xf>
    <xf numFmtId="0" fontId="35" fillId="9" borderId="9" xfId="0" applyFont="1" applyFill="1" applyBorder="1"/>
    <xf numFmtId="0" fontId="35" fillId="0" borderId="0" xfId="0" applyFont="1" applyAlignment="1">
      <alignment horizontal="center"/>
    </xf>
    <xf numFmtId="43" fontId="0" fillId="0" borderId="9" xfId="4" applyNumberFormat="1" applyFont="1" applyBorder="1"/>
    <xf numFmtId="43" fontId="15" fillId="0" borderId="9" xfId="4" applyNumberFormat="1" applyFont="1" applyBorder="1"/>
    <xf numFmtId="44" fontId="0" fillId="0" borderId="9" xfId="4" applyFont="1" applyFill="1" applyBorder="1"/>
    <xf numFmtId="4" fontId="0" fillId="0" borderId="9" xfId="0" applyNumberFormat="1" applyBorder="1"/>
    <xf numFmtId="0" fontId="2" fillId="0" borderId="2" xfId="0" applyFont="1" applyBorder="1" applyAlignment="1">
      <alignment horizontal="center" vertical="center" wrapText="1"/>
    </xf>
    <xf numFmtId="43" fontId="34" fillId="0" borderId="0" xfId="0" applyNumberFormat="1" applyFont="1"/>
    <xf numFmtId="9" fontId="34" fillId="0" borderId="0" xfId="5" applyFont="1"/>
    <xf numFmtId="43" fontId="34" fillId="3" borderId="9" xfId="0" applyNumberFormat="1" applyFont="1" applyFill="1" applyBorder="1"/>
    <xf numFmtId="165" fontId="3" fillId="0" borderId="5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37" fillId="0" borderId="0" xfId="0" applyFont="1"/>
    <xf numFmtId="0" fontId="3" fillId="0" borderId="5" xfId="0" applyFont="1" applyBorder="1" applyAlignment="1">
      <alignment horizontal="center" vertical="center" wrapText="1"/>
    </xf>
    <xf numFmtId="166" fontId="38" fillId="0" borderId="5" xfId="0" applyNumberFormat="1" applyFont="1" applyBorder="1" applyAlignment="1">
      <alignment horizontal="center" vertical="center" wrapText="1"/>
    </xf>
    <xf numFmtId="44" fontId="0" fillId="0" borderId="0" xfId="0" applyNumberFormat="1"/>
    <xf numFmtId="0" fontId="15" fillId="0" borderId="0" xfId="0" applyFont="1"/>
    <xf numFmtId="0" fontId="15" fillId="5" borderId="9" xfId="0" applyFont="1" applyFill="1" applyBorder="1"/>
    <xf numFmtId="0" fontId="35" fillId="8" borderId="23" xfId="0" applyFont="1" applyFill="1" applyBorder="1" applyAlignment="1">
      <alignment horizontal="center"/>
    </xf>
    <xf numFmtId="0" fontId="35" fillId="8" borderId="11" xfId="0" applyFont="1" applyFill="1" applyBorder="1" applyAlignment="1">
      <alignment horizontal="center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165" fontId="10" fillId="0" borderId="15" xfId="2" applyNumberFormat="1" applyFont="1" applyBorder="1" applyAlignment="1">
      <alignment horizontal="left" vertical="center"/>
    </xf>
    <xf numFmtId="165" fontId="10" fillId="0" borderId="22" xfId="2" applyNumberFormat="1" applyFont="1" applyBorder="1" applyAlignment="1">
      <alignment horizontal="left" vertical="center"/>
    </xf>
    <xf numFmtId="165" fontId="10" fillId="0" borderId="27" xfId="2" applyNumberFormat="1" applyFont="1" applyBorder="1" applyAlignment="1">
      <alignment horizontal="center" vertical="center" wrapText="1"/>
    </xf>
    <xf numFmtId="165" fontId="10" fillId="0" borderId="28" xfId="2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43" fontId="17" fillId="0" borderId="35" xfId="0" applyNumberFormat="1" applyFont="1" applyBorder="1" applyAlignment="1">
      <alignment vertical="center" wrapText="1"/>
    </xf>
    <xf numFmtId="43" fontId="17" fillId="0" borderId="37" xfId="0" applyNumberFormat="1" applyFont="1" applyBorder="1" applyAlignment="1">
      <alignment vertical="center" wrapText="1"/>
    </xf>
    <xf numFmtId="43" fontId="17" fillId="4" borderId="35" xfId="0" applyNumberFormat="1" applyFont="1" applyFill="1" applyBorder="1" applyAlignment="1">
      <alignment vertical="center" wrapText="1"/>
    </xf>
    <xf numFmtId="43" fontId="17" fillId="4" borderId="37" xfId="0" applyNumberFormat="1" applyFont="1" applyFill="1" applyBorder="1" applyAlignment="1">
      <alignment vertical="center" wrapText="1"/>
    </xf>
    <xf numFmtId="4" fontId="17" fillId="0" borderId="7" xfId="0" applyNumberFormat="1" applyFont="1" applyBorder="1" applyAlignment="1">
      <alignment vertical="center" wrapText="1"/>
    </xf>
    <xf numFmtId="4" fontId="17" fillId="0" borderId="4" xfId="0" applyNumberFormat="1" applyFont="1" applyBorder="1" applyAlignment="1">
      <alignment vertical="center" wrapText="1"/>
    </xf>
    <xf numFmtId="4" fontId="17" fillId="0" borderId="60" xfId="0" applyNumberFormat="1" applyFont="1" applyBorder="1" applyAlignment="1">
      <alignment vertical="center" wrapText="1"/>
    </xf>
    <xf numFmtId="4" fontId="16" fillId="0" borderId="61" xfId="0" applyNumberFormat="1" applyFont="1" applyBorder="1" applyAlignment="1">
      <alignment vertical="center" wrapText="1"/>
    </xf>
    <xf numFmtId="4" fontId="16" fillId="0" borderId="60" xfId="0" applyNumberFormat="1" applyFont="1" applyBorder="1" applyAlignment="1">
      <alignment vertical="center" wrapText="1"/>
    </xf>
    <xf numFmtId="4" fontId="16" fillId="0" borderId="7" xfId="0" applyNumberFormat="1" applyFont="1" applyBorder="1" applyAlignment="1">
      <alignment vertical="center" wrapText="1"/>
    </xf>
    <xf numFmtId="4" fontId="16" fillId="0" borderId="4" xfId="0" applyNumberFormat="1" applyFont="1" applyBorder="1" applyAlignment="1">
      <alignment vertical="center" wrapText="1"/>
    </xf>
    <xf numFmtId="0" fontId="26" fillId="0" borderId="35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 wrapText="1"/>
    </xf>
    <xf numFmtId="4" fontId="16" fillId="0" borderId="56" xfId="0" applyNumberFormat="1" applyFont="1" applyBorder="1" applyAlignment="1">
      <alignment vertical="center" wrapText="1"/>
    </xf>
    <xf numFmtId="4" fontId="16" fillId="0" borderId="55" xfId="0" applyNumberFormat="1" applyFont="1" applyBorder="1" applyAlignment="1">
      <alignment vertical="center" wrapText="1"/>
    </xf>
    <xf numFmtId="4" fontId="17" fillId="0" borderId="57" xfId="0" applyNumberFormat="1" applyFont="1" applyBorder="1" applyAlignment="1">
      <alignment vertical="center" wrapText="1"/>
    </xf>
    <xf numFmtId="4" fontId="17" fillId="0" borderId="55" xfId="0" applyNumberFormat="1" applyFont="1" applyBorder="1" applyAlignment="1">
      <alignment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" fillId="0" borderId="36" xfId="0" quotePrefix="1" applyFont="1" applyBorder="1" applyAlignment="1">
      <alignment horizontal="center" vertical="center" wrapText="1"/>
    </xf>
    <xf numFmtId="0" fontId="2" fillId="0" borderId="37" xfId="0" quotePrefix="1" applyFont="1" applyBorder="1" applyAlignment="1">
      <alignment horizontal="center" vertical="center" wrapText="1"/>
    </xf>
    <xf numFmtId="43" fontId="17" fillId="0" borderId="36" xfId="0" applyNumberFormat="1" applyFont="1" applyBorder="1" applyAlignment="1">
      <alignment horizontal="center" vertical="center" wrapText="1"/>
    </xf>
    <xf numFmtId="43" fontId="17" fillId="0" borderId="37" xfId="0" applyNumberFormat="1" applyFont="1" applyBorder="1" applyAlignment="1">
      <alignment horizontal="center" vertical="center" wrapText="1"/>
    </xf>
    <xf numFmtId="43" fontId="17" fillId="0" borderId="36" xfId="0" applyNumberFormat="1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4" xfId="0" applyFont="1" applyBorder="1" applyAlignment="1">
      <alignment vertical="center" wrapText="1"/>
    </xf>
    <xf numFmtId="0" fontId="2" fillId="0" borderId="46" xfId="0" applyFont="1" applyBorder="1" applyAlignment="1">
      <alignment vertical="center" wrapText="1"/>
    </xf>
    <xf numFmtId="0" fontId="19" fillId="0" borderId="42" xfId="0" applyFont="1" applyBorder="1" applyAlignment="1">
      <alignment horizontal="center" vertical="center" textRotation="90" wrapText="1"/>
    </xf>
    <xf numFmtId="0" fontId="19" fillId="0" borderId="36" xfId="0" applyFont="1" applyBorder="1" applyAlignment="1">
      <alignment horizontal="center" vertical="center" textRotation="90" wrapText="1"/>
    </xf>
    <xf numFmtId="0" fontId="19" fillId="0" borderId="47" xfId="0" applyFont="1" applyBorder="1" applyAlignment="1">
      <alignment horizontal="center" vertical="center" textRotation="90" wrapText="1"/>
    </xf>
    <xf numFmtId="0" fontId="19" fillId="0" borderId="42" xfId="0" applyFont="1" applyBorder="1" applyAlignment="1">
      <alignment horizontal="center" vertical="center" textRotation="180" wrapText="1"/>
    </xf>
    <xf numFmtId="0" fontId="19" fillId="0" borderId="36" xfId="0" applyFont="1" applyBorder="1" applyAlignment="1">
      <alignment horizontal="center" vertical="center" textRotation="180" wrapText="1"/>
    </xf>
    <xf numFmtId="0" fontId="19" fillId="0" borderId="47" xfId="0" applyFont="1" applyBorder="1" applyAlignment="1">
      <alignment horizontal="center" vertical="center" textRotation="180" wrapText="1"/>
    </xf>
    <xf numFmtId="10" fontId="2" fillId="0" borderId="36" xfId="5" applyNumberFormat="1" applyFont="1" applyBorder="1" applyAlignment="1">
      <alignment horizontal="center" vertical="center" wrapText="1"/>
    </xf>
    <xf numFmtId="10" fontId="2" fillId="0" borderId="37" xfId="5" applyNumberFormat="1" applyFont="1" applyBorder="1" applyAlignment="1">
      <alignment horizontal="center" vertical="center" wrapText="1"/>
    </xf>
    <xf numFmtId="9" fontId="2" fillId="0" borderId="36" xfId="5" applyFont="1" applyBorder="1" applyAlignment="1">
      <alignment horizontal="center" vertical="center" wrapText="1"/>
    </xf>
    <xf numFmtId="43" fontId="17" fillId="0" borderId="35" xfId="0" applyNumberFormat="1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169" fontId="2" fillId="0" borderId="7" xfId="5" applyNumberFormat="1" applyFont="1" applyBorder="1" applyAlignment="1">
      <alignment horizontal="center" vertical="center" wrapText="1"/>
    </xf>
    <xf numFmtId="169" fontId="2" fillId="0" borderId="3" xfId="5" applyNumberFormat="1" applyFont="1" applyBorder="1" applyAlignment="1">
      <alignment horizontal="center" vertical="center" wrapText="1"/>
    </xf>
    <xf numFmtId="9" fontId="17" fillId="0" borderId="35" xfId="5" applyFont="1" applyBorder="1" applyAlignment="1">
      <alignment horizontal="center" vertical="center" wrapText="1"/>
    </xf>
    <xf numFmtId="9" fontId="17" fillId="0" borderId="37" xfId="5" applyFont="1" applyBorder="1" applyAlignment="1">
      <alignment horizontal="center" vertical="center" wrapText="1"/>
    </xf>
    <xf numFmtId="169" fontId="2" fillId="0" borderId="36" xfId="5" applyNumberFormat="1" applyFont="1" applyBorder="1" applyAlignment="1">
      <alignment horizontal="center" vertical="center" wrapText="1"/>
    </xf>
    <xf numFmtId="169" fontId="2" fillId="0" borderId="37" xfId="5" applyNumberFormat="1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4" fontId="17" fillId="0" borderId="35" xfId="0" applyNumberFormat="1" applyFont="1" applyBorder="1" applyAlignment="1">
      <alignment horizontal="center" vertical="center" wrapText="1"/>
    </xf>
    <xf numFmtId="4" fontId="17" fillId="0" borderId="36" xfId="0" applyNumberFormat="1" applyFont="1" applyBorder="1" applyAlignment="1">
      <alignment horizontal="center" vertical="center" wrapText="1"/>
    </xf>
    <xf numFmtId="4" fontId="17" fillId="0" borderId="37" xfId="0" applyNumberFormat="1" applyFont="1" applyBorder="1" applyAlignment="1">
      <alignment horizontal="center" vertical="center" wrapText="1"/>
    </xf>
    <xf numFmtId="0" fontId="17" fillId="10" borderId="7" xfId="0" applyFont="1" applyFill="1" applyBorder="1" applyAlignment="1">
      <alignment horizontal="center" vertical="center" wrapText="1"/>
    </xf>
    <xf numFmtId="0" fontId="17" fillId="10" borderId="4" xfId="0" applyFont="1" applyFill="1" applyBorder="1" applyAlignment="1">
      <alignment horizontal="center" vertical="center" wrapText="1"/>
    </xf>
    <xf numFmtId="0" fontId="17" fillId="10" borderId="3" xfId="0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4" fontId="17" fillId="0" borderId="58" xfId="0" applyNumberFormat="1" applyFont="1" applyBorder="1" applyAlignment="1">
      <alignment horizontal="center" vertical="center" wrapText="1"/>
    </xf>
    <xf numFmtId="4" fontId="17" fillId="0" borderId="44" xfId="0" applyNumberFormat="1" applyFont="1" applyBorder="1" applyAlignment="1">
      <alignment horizontal="center" vertical="center" wrapText="1"/>
    </xf>
    <xf numFmtId="4" fontId="17" fillId="0" borderId="59" xfId="0" applyNumberFormat="1" applyFont="1" applyBorder="1" applyAlignment="1">
      <alignment horizontal="center" vertical="center" wrapText="1"/>
    </xf>
    <xf numFmtId="4" fontId="15" fillId="0" borderId="63" xfId="0" applyNumberFormat="1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4" fontId="15" fillId="0" borderId="7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3" fontId="16" fillId="0" borderId="35" xfId="4" applyNumberFormat="1" applyFont="1" applyBorder="1" applyAlignment="1">
      <alignment vertical="center" wrapText="1"/>
    </xf>
    <xf numFmtId="43" fontId="16" fillId="0" borderId="37" xfId="4" applyNumberFormat="1" applyFont="1" applyBorder="1" applyAlignment="1">
      <alignment vertical="center" wrapText="1"/>
    </xf>
    <xf numFmtId="0" fontId="17" fillId="0" borderId="35" xfId="0" applyFont="1" applyBorder="1" applyAlignment="1">
      <alignment vertical="center" wrapText="1"/>
    </xf>
    <xf numFmtId="0" fontId="17" fillId="0" borderId="36" xfId="0" applyFont="1" applyBorder="1" applyAlignment="1">
      <alignment vertical="center" wrapText="1"/>
    </xf>
    <xf numFmtId="0" fontId="17" fillId="0" borderId="37" xfId="0" applyFont="1" applyBorder="1" applyAlignment="1">
      <alignment vertical="center" wrapText="1"/>
    </xf>
    <xf numFmtId="10" fontId="17" fillId="0" borderId="35" xfId="5" applyNumberFormat="1" applyFont="1" applyBorder="1" applyAlignment="1">
      <alignment vertical="center" wrapText="1"/>
    </xf>
    <xf numFmtId="10" fontId="17" fillId="0" borderId="37" xfId="5" applyNumberFormat="1" applyFont="1" applyBorder="1" applyAlignment="1">
      <alignment vertical="center" wrapText="1"/>
    </xf>
    <xf numFmtId="43" fontId="17" fillId="0" borderId="36" xfId="4" applyNumberFormat="1" applyFont="1" applyBorder="1" applyAlignment="1">
      <alignment vertical="center" wrapText="1"/>
    </xf>
    <xf numFmtId="43" fontId="17" fillId="0" borderId="37" xfId="4" applyNumberFormat="1" applyFont="1" applyBorder="1" applyAlignment="1">
      <alignment vertical="center" wrapText="1"/>
    </xf>
    <xf numFmtId="10" fontId="17" fillId="0" borderId="35" xfId="5" applyNumberFormat="1" applyFont="1" applyBorder="1" applyAlignment="1">
      <alignment horizontal="center" vertical="center" wrapText="1"/>
    </xf>
    <xf numFmtId="10" fontId="17" fillId="0" borderId="37" xfId="5" applyNumberFormat="1" applyFont="1" applyBorder="1" applyAlignment="1">
      <alignment horizontal="center" vertical="center" wrapText="1"/>
    </xf>
    <xf numFmtId="43" fontId="36" fillId="0" borderId="42" xfId="0" applyNumberFormat="1" applyFont="1" applyBorder="1" applyAlignment="1">
      <alignment vertical="center" wrapText="1"/>
    </xf>
    <xf numFmtId="43" fontId="36" fillId="0" borderId="36" xfId="0" applyNumberFormat="1" applyFont="1" applyBorder="1" applyAlignment="1">
      <alignment vertical="center" wrapText="1"/>
    </xf>
    <xf numFmtId="43" fontId="36" fillId="0" borderId="37" xfId="0" applyNumberFormat="1" applyFont="1" applyBorder="1" applyAlignment="1">
      <alignment vertical="center" wrapText="1"/>
    </xf>
    <xf numFmtId="0" fontId="22" fillId="0" borderId="9" xfId="6" applyFont="1" applyBorder="1" applyAlignment="1">
      <alignment horizontal="center"/>
    </xf>
    <xf numFmtId="10" fontId="22" fillId="0" borderId="9" xfId="6" applyNumberFormat="1" applyFont="1" applyBorder="1" applyAlignment="1">
      <alignment horizontal="center"/>
    </xf>
    <xf numFmtId="0" fontId="24" fillId="0" borderId="26" xfId="6" applyFont="1" applyBorder="1" applyAlignment="1">
      <alignment horizontal="center"/>
    </xf>
    <xf numFmtId="0" fontId="22" fillId="5" borderId="34" xfId="6" applyFont="1" applyFill="1" applyBorder="1" applyAlignment="1">
      <alignment horizontal="center" vertical="center" wrapText="1"/>
    </xf>
    <xf numFmtId="0" fontId="22" fillId="5" borderId="28" xfId="6" applyFont="1" applyFill="1" applyBorder="1" applyAlignment="1">
      <alignment horizontal="center" vertical="center" wrapText="1"/>
    </xf>
    <xf numFmtId="0" fontId="22" fillId="5" borderId="10" xfId="6" applyFont="1" applyFill="1" applyBorder="1" applyAlignment="1">
      <alignment horizontal="center" vertical="center" wrapText="1"/>
    </xf>
    <xf numFmtId="0" fontId="22" fillId="0" borderId="9" xfId="6" applyFont="1" applyBorder="1" applyAlignment="1">
      <alignment horizontal="center" vertical="center"/>
    </xf>
    <xf numFmtId="0" fontId="22" fillId="0" borderId="9" xfId="6" applyFont="1" applyBorder="1" applyAlignment="1">
      <alignment horizontal="center" vertical="center" wrapText="1"/>
    </xf>
    <xf numFmtId="0" fontId="25" fillId="0" borderId="11" xfId="6" applyFont="1" applyBorder="1"/>
    <xf numFmtId="168" fontId="25" fillId="0" borderId="9" xfId="6" applyNumberFormat="1" applyFont="1" applyBorder="1" applyAlignment="1">
      <alignment horizontal="center"/>
    </xf>
    <xf numFmtId="10" fontId="25" fillId="6" borderId="34" xfId="6" applyNumberFormat="1" applyFont="1" applyFill="1" applyBorder="1" applyAlignment="1">
      <alignment horizontal="center"/>
    </xf>
    <xf numFmtId="10" fontId="25" fillId="6" borderId="10" xfId="6" applyNumberFormat="1" applyFont="1" applyFill="1" applyBorder="1" applyAlignment="1">
      <alignment horizontal="center"/>
    </xf>
    <xf numFmtId="167" fontId="17" fillId="0" borderId="35" xfId="0" applyNumberFormat="1" applyFont="1" applyBorder="1" applyAlignment="1">
      <alignment vertical="center" wrapText="1"/>
    </xf>
    <xf numFmtId="167" fontId="17" fillId="0" borderId="37" xfId="0" applyNumberFormat="1" applyFont="1" applyBorder="1" applyAlignment="1">
      <alignment vertical="center" wrapText="1"/>
    </xf>
    <xf numFmtId="10" fontId="17" fillId="0" borderId="35" xfId="0" applyNumberFormat="1" applyFont="1" applyBorder="1" applyAlignment="1">
      <alignment vertical="center" wrapText="1"/>
    </xf>
    <xf numFmtId="10" fontId="17" fillId="0" borderId="37" xfId="0" applyNumberFormat="1" applyFont="1" applyBorder="1" applyAlignment="1">
      <alignment vertical="center" wrapText="1"/>
    </xf>
    <xf numFmtId="10" fontId="17" fillId="0" borderId="35" xfId="0" applyNumberFormat="1" applyFont="1" applyBorder="1" applyAlignment="1">
      <alignment horizontal="center" vertical="center" wrapText="1"/>
    </xf>
    <xf numFmtId="10" fontId="17" fillId="0" borderId="37" xfId="0" applyNumberFormat="1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167" fontId="17" fillId="0" borderId="36" xfId="0" applyNumberFormat="1" applyFont="1" applyBorder="1" applyAlignment="1">
      <alignment vertical="center" wrapText="1"/>
    </xf>
    <xf numFmtId="0" fontId="17" fillId="0" borderId="41" xfId="0" applyFont="1" applyBorder="1" applyAlignment="1">
      <alignment vertical="center" wrapText="1"/>
    </xf>
    <xf numFmtId="0" fontId="17" fillId="0" borderId="46" xfId="0" applyFont="1" applyBorder="1" applyAlignment="1">
      <alignment vertical="center" wrapText="1"/>
    </xf>
  </cellXfs>
  <cellStyles count="7">
    <cellStyle name="Migliaia 2" xfId="1"/>
    <cellStyle name="Migliaia 3" xfId="3"/>
    <cellStyle name="Normale" xfId="0" builtinId="0"/>
    <cellStyle name="Normale 2" xfId="2"/>
    <cellStyle name="Normale 2 2" xfId="6"/>
    <cellStyle name="Percentuale" xfId="5" builtinId="5"/>
    <cellStyle name="Valuta" xfId="4" builtinId="4"/>
  </cellStyles>
  <dxfs count="0"/>
  <tableStyles count="0" defaultTableStyle="TableStyleMedium2" defaultPivotStyle="PivotStyleLight16"/>
  <colors>
    <mruColors>
      <color rgb="FFD4D4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oinfantino/Desktop/Incarichi%20Professionali/Comune%20di%20Grisolia/Riaccertamento%20Residui/DEBITI%20FUORI%20BILANCIO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tera A"/>
      <sheetName val="Lettera 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30"/>
  <sheetViews>
    <sheetView zoomScale="92" workbookViewId="0">
      <pane xSplit="1" topLeftCell="B1" activePane="topRight" state="frozen"/>
      <selection pane="topRight" activeCell="E18" sqref="E18"/>
    </sheetView>
  </sheetViews>
  <sheetFormatPr defaultColWidth="10.875" defaultRowHeight="18.75"/>
  <cols>
    <col min="1" max="1" width="70.625" style="108" bestFit="1" customWidth="1"/>
    <col min="2" max="2" width="21.625" style="109" customWidth="1"/>
    <col min="3" max="3" width="17.625" style="108" customWidth="1"/>
    <col min="4" max="4" width="17.625" style="108" bestFit="1" customWidth="1"/>
    <col min="5" max="14" width="17.625" style="108" customWidth="1"/>
    <col min="15" max="15" width="18.625" style="108" customWidth="1"/>
    <col min="16" max="16" width="17.625" style="108" bestFit="1" customWidth="1"/>
    <col min="17" max="17" width="18.5" style="108" customWidth="1"/>
    <col min="18" max="18" width="18.125" style="108" customWidth="1"/>
    <col min="19" max="19" width="19.375" style="108" customWidth="1"/>
    <col min="20" max="20" width="18.625" style="108" customWidth="1"/>
    <col min="21" max="21" width="18.875" style="108" customWidth="1"/>
    <col min="22" max="22" width="18.625" style="108" customWidth="1"/>
    <col min="23" max="23" width="21.875" style="108" customWidth="1"/>
    <col min="24" max="24" width="18.625" style="108" customWidth="1"/>
    <col min="25" max="16384" width="10.875" style="108"/>
  </cols>
  <sheetData>
    <row r="1" spans="1:24" s="120" customFormat="1">
      <c r="A1" s="119" t="s">
        <v>203</v>
      </c>
      <c r="B1" s="118" t="s">
        <v>159</v>
      </c>
      <c r="C1" s="118">
        <v>2024</v>
      </c>
      <c r="D1" s="118">
        <f t="shared" ref="D1" si="0">C1+1</f>
        <v>2025</v>
      </c>
      <c r="E1" s="118">
        <f t="shared" ref="E1" si="1">D1+1</f>
        <v>2026</v>
      </c>
      <c r="F1" s="118">
        <f t="shared" ref="F1" si="2">E1+1</f>
        <v>2027</v>
      </c>
      <c r="G1" s="118">
        <f t="shared" ref="G1" si="3">F1+1</f>
        <v>2028</v>
      </c>
      <c r="H1" s="118">
        <f t="shared" ref="H1" si="4">G1+1</f>
        <v>2029</v>
      </c>
      <c r="I1" s="118">
        <f t="shared" ref="I1" si="5">H1+1</f>
        <v>2030</v>
      </c>
      <c r="J1" s="118">
        <f t="shared" ref="J1" si="6">I1+1</f>
        <v>2031</v>
      </c>
      <c r="K1" s="118">
        <f t="shared" ref="K1" si="7">J1+1</f>
        <v>2032</v>
      </c>
      <c r="L1" s="118">
        <f t="shared" ref="L1" si="8">K1+1</f>
        <v>2033</v>
      </c>
      <c r="M1" s="118">
        <f t="shared" ref="M1" si="9">L1+1</f>
        <v>2034</v>
      </c>
      <c r="N1" s="118">
        <f t="shared" ref="N1" si="10">M1+1</f>
        <v>2035</v>
      </c>
      <c r="O1" s="118">
        <f t="shared" ref="O1" si="11">N1+1</f>
        <v>2036</v>
      </c>
      <c r="P1" s="118">
        <f t="shared" ref="P1" si="12">O1+1</f>
        <v>2037</v>
      </c>
      <c r="Q1" s="118">
        <f t="shared" ref="Q1" si="13">P1+1</f>
        <v>2038</v>
      </c>
      <c r="R1" s="118">
        <f t="shared" ref="R1" si="14">Q1+1</f>
        <v>2039</v>
      </c>
      <c r="S1" s="118">
        <f t="shared" ref="S1" si="15">R1+1</f>
        <v>2040</v>
      </c>
      <c r="T1" s="118">
        <f t="shared" ref="T1" si="16">S1+1</f>
        <v>2041</v>
      </c>
      <c r="U1" s="118">
        <f t="shared" ref="U1" si="17">T1+1</f>
        <v>2042</v>
      </c>
      <c r="V1" s="118">
        <f t="shared" ref="V1" si="18">U1+1</f>
        <v>2043</v>
      </c>
      <c r="W1" s="118" t="s">
        <v>157</v>
      </c>
    </row>
    <row r="2" spans="1:24">
      <c r="A2" s="110" t="s">
        <v>181</v>
      </c>
      <c r="B2" s="111">
        <f>2249440.87-674832.24</f>
        <v>1574608.6300000001</v>
      </c>
      <c r="C2" s="111">
        <v>74981.36</v>
      </c>
      <c r="D2" s="111">
        <v>74981.36</v>
      </c>
      <c r="E2" s="111">
        <v>74981.36</v>
      </c>
      <c r="F2" s="111">
        <v>74981.36</v>
      </c>
      <c r="G2" s="111">
        <v>74981.36</v>
      </c>
      <c r="H2" s="111">
        <v>74981.36</v>
      </c>
      <c r="I2" s="111">
        <v>74981.36</v>
      </c>
      <c r="J2" s="111">
        <v>74981.36</v>
      </c>
      <c r="K2" s="111">
        <v>74981.36</v>
      </c>
      <c r="L2" s="111">
        <v>74981.36</v>
      </c>
      <c r="M2" s="111">
        <v>74981.36</v>
      </c>
      <c r="N2" s="111">
        <v>74981.36</v>
      </c>
      <c r="O2" s="111">
        <v>74981.36</v>
      </c>
      <c r="P2" s="111">
        <v>74981.36</v>
      </c>
      <c r="Q2" s="111">
        <v>74981.36</v>
      </c>
      <c r="R2" s="111">
        <v>74981.36</v>
      </c>
      <c r="S2" s="111">
        <v>74981.36</v>
      </c>
      <c r="T2" s="111">
        <v>74981.36</v>
      </c>
      <c r="U2" s="111">
        <v>74981.36</v>
      </c>
      <c r="V2" s="111">
        <v>74981.36</v>
      </c>
      <c r="W2" s="111">
        <f>B2-SUM(C2:V2)</f>
        <v>74981.429999999469</v>
      </c>
    </row>
    <row r="3" spans="1:24">
      <c r="A3" s="110" t="s">
        <v>164</v>
      </c>
      <c r="B3" s="111">
        <f>7155597.51-B2</f>
        <v>5580988.8799999999</v>
      </c>
      <c r="C3" s="111"/>
      <c r="D3" s="111">
        <v>400000</v>
      </c>
      <c r="E3" s="111">
        <v>400000</v>
      </c>
      <c r="F3" s="111">
        <f>320000+79309.2</f>
        <v>399309.2</v>
      </c>
      <c r="G3" s="111">
        <v>400000</v>
      </c>
      <c r="H3" s="111">
        <v>400000</v>
      </c>
      <c r="I3" s="111">
        <v>400000</v>
      </c>
      <c r="J3" s="111">
        <v>400000</v>
      </c>
      <c r="K3" s="111">
        <v>400000</v>
      </c>
      <c r="L3" s="111">
        <v>400000</v>
      </c>
      <c r="M3" s="111">
        <v>400000</v>
      </c>
      <c r="N3" s="111">
        <v>400000</v>
      </c>
      <c r="O3" s="111">
        <v>400000</v>
      </c>
      <c r="P3" s="111">
        <v>400000</v>
      </c>
      <c r="Q3" s="111">
        <v>381679.68</v>
      </c>
      <c r="R3" s="111"/>
      <c r="S3" s="111"/>
      <c r="T3" s="111"/>
      <c r="U3" s="111"/>
      <c r="V3" s="111"/>
      <c r="W3" s="111">
        <f>B3-SUM(C3:V3)</f>
        <v>0</v>
      </c>
      <c r="X3" s="126">
        <f>W3/16</f>
        <v>0</v>
      </c>
    </row>
    <row r="4" spans="1:24">
      <c r="A4" s="110" t="s">
        <v>182</v>
      </c>
      <c r="B4" s="111">
        <v>588300.72</v>
      </c>
      <c r="C4" s="111">
        <f>'[1]Lettera A'!$C$5</f>
        <v>286603.96999999997</v>
      </c>
      <c r="D4" s="111">
        <f>'[1]Lettera A'!$D$5</f>
        <v>30169.68</v>
      </c>
      <c r="E4" s="111">
        <f>'[1]Lettera A'!$D$5</f>
        <v>30169.68</v>
      </c>
      <c r="F4" s="111">
        <f>'[1]Lettera A'!$D$5</f>
        <v>30169.68</v>
      </c>
      <c r="G4" s="111">
        <f>'[1]Lettera A'!$D$5</f>
        <v>30169.68</v>
      </c>
      <c r="H4" s="111">
        <f>'[1]Lettera A'!$D$5</f>
        <v>30169.68</v>
      </c>
      <c r="I4" s="111">
        <f>'[1]Lettera A'!$D$5</f>
        <v>30169.68</v>
      </c>
      <c r="J4" s="111">
        <f>'[1]Lettera A'!$D$5</f>
        <v>30169.68</v>
      </c>
      <c r="K4" s="111">
        <f>'[1]Lettera A'!$D$5</f>
        <v>30169.68</v>
      </c>
      <c r="L4" s="111">
        <f>'[1]Lettera A'!$D$5</f>
        <v>30169.68</v>
      </c>
      <c r="M4" s="111">
        <f>'[1]Lettera A'!$D$5-0.05</f>
        <v>30169.63</v>
      </c>
      <c r="N4" s="111"/>
      <c r="O4" s="111"/>
      <c r="P4" s="111"/>
      <c r="Q4" s="111"/>
      <c r="R4" s="111"/>
      <c r="S4" s="111"/>
      <c r="T4" s="111"/>
      <c r="U4" s="111"/>
      <c r="V4" s="111"/>
      <c r="W4" s="111">
        <f>B4-SUM(C4:V4)</f>
        <v>0</v>
      </c>
    </row>
    <row r="5" spans="1:24">
      <c r="A5" s="110" t="s">
        <v>183</v>
      </c>
      <c r="B5" s="111">
        <v>1246235.8</v>
      </c>
      <c r="C5" s="111">
        <f>'[1]Lettera E'!$C$29</f>
        <v>274901.78066666669</v>
      </c>
      <c r="D5" s="111">
        <f>'[1]Lettera E'!$D$29</f>
        <v>142264.47999999998</v>
      </c>
      <c r="E5" s="111">
        <f>'[1]Lettera E'!$E$29</f>
        <v>121010.31</v>
      </c>
      <c r="F5" s="111">
        <f>'[1]Lettera E'!$F$29</f>
        <v>74889.899999999994</v>
      </c>
      <c r="G5" s="111">
        <f>'[1]Lettera E'!$G$29</f>
        <v>96436.74</v>
      </c>
      <c r="H5" s="111">
        <f>'[1]Lettera E'!$H$29</f>
        <v>91746.72</v>
      </c>
      <c r="I5" s="111">
        <f>'[1]Lettera E'!$I$29</f>
        <v>59221.619999999995</v>
      </c>
      <c r="J5" s="111">
        <f>'[1]Lettera E'!$J$29</f>
        <v>59221.619999999995</v>
      </c>
      <c r="K5" s="111">
        <f>'[1]Lettera E'!$K$29</f>
        <v>59221.619999999995</v>
      </c>
      <c r="L5" s="111">
        <f>'[1]Lettera E'!$L$29</f>
        <v>59221.66</v>
      </c>
      <c r="M5" s="111">
        <f>+'[1]Lettera E'!$C$59</f>
        <v>28635.68</v>
      </c>
      <c r="N5" s="111">
        <f>+'[1]Lettera E'!$D$59</f>
        <v>28635.279999999999</v>
      </c>
      <c r="O5" s="111">
        <f>+'[1]Lettera E'!$E$59</f>
        <v>21546.84</v>
      </c>
      <c r="P5" s="111">
        <f>+'[1]Lettera E'!$F$59</f>
        <v>21546.84</v>
      </c>
      <c r="Q5" s="111">
        <f>+'[1]Lettera E'!$G$59</f>
        <v>21546.84</v>
      </c>
      <c r="R5" s="111">
        <f>+'[1]Lettera E'!$H$59</f>
        <v>21546.84</v>
      </c>
      <c r="S5" s="111">
        <f>+'[1]Lettera E'!$I$59</f>
        <v>21546.84</v>
      </c>
      <c r="T5" s="111">
        <f>+'[1]Lettera E'!$J$59</f>
        <v>21546.84</v>
      </c>
      <c r="U5" s="111">
        <f>+'[1]Lettera E'!$K$59+0.47</f>
        <v>21547.350000000002</v>
      </c>
      <c r="V5" s="111">
        <f>+'[1]Lettera E'!$L$59</f>
        <v>0</v>
      </c>
      <c r="W5" s="111">
        <f>B5-SUM(C5:V5)</f>
        <v>-6.6666724160313606E-4</v>
      </c>
    </row>
    <row r="6" spans="1:24">
      <c r="A6" s="110" t="s">
        <v>189</v>
      </c>
      <c r="B6" s="111"/>
      <c r="C6" s="111"/>
      <c r="D6" s="111"/>
      <c r="E6" s="111"/>
      <c r="F6" s="111"/>
      <c r="G6" s="111">
        <f>G13-G2-G3-G4-G5-G8</f>
        <v>348272.10000000003</v>
      </c>
      <c r="H6" s="111">
        <f t="shared" ref="H6:V6" si="19">H13-H2-H3-H4-H5-H8</f>
        <v>352962.12</v>
      </c>
      <c r="I6" s="111">
        <f t="shared" si="19"/>
        <v>385487.22000000003</v>
      </c>
      <c r="J6" s="111">
        <f t="shared" si="19"/>
        <v>385487.22000000003</v>
      </c>
      <c r="K6" s="111">
        <f t="shared" si="19"/>
        <v>385487.22000000003</v>
      </c>
      <c r="L6" s="111">
        <f t="shared" si="19"/>
        <v>385487.18000000005</v>
      </c>
      <c r="M6" s="111">
        <f t="shared" si="19"/>
        <v>416073.21</v>
      </c>
      <c r="N6" s="111">
        <f t="shared" si="19"/>
        <v>512363.24</v>
      </c>
      <c r="O6" s="111">
        <f t="shared" si="19"/>
        <v>519451.68</v>
      </c>
      <c r="P6" s="111">
        <f t="shared" si="19"/>
        <v>519451.68</v>
      </c>
      <c r="Q6" s="111">
        <f t="shared" si="19"/>
        <v>537772.00000000012</v>
      </c>
      <c r="R6" s="111">
        <f t="shared" si="19"/>
        <v>919451.68</v>
      </c>
      <c r="S6" s="111">
        <f t="shared" si="19"/>
        <v>919451.68</v>
      </c>
      <c r="T6" s="111">
        <f t="shared" si="19"/>
        <v>919451.68</v>
      </c>
      <c r="U6" s="111">
        <f t="shared" si="19"/>
        <v>919451.17</v>
      </c>
      <c r="V6" s="111">
        <f t="shared" si="19"/>
        <v>940998.52</v>
      </c>
      <c r="W6" s="111"/>
    </row>
    <row r="7" spans="1:24">
      <c r="A7" s="110" t="s">
        <v>184</v>
      </c>
      <c r="B7" s="111">
        <v>495429.2</v>
      </c>
      <c r="C7" s="111"/>
      <c r="D7" s="111">
        <v>293411.01</v>
      </c>
      <c r="E7" s="111">
        <f>260763.22-170690.8+20000</f>
        <v>110072.42000000001</v>
      </c>
      <c r="F7" s="111">
        <f>383698.94-13189.2</f>
        <v>370509.74</v>
      </c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>
        <f>B7-SUM(C7:V7)</f>
        <v>-278563.97000000003</v>
      </c>
    </row>
    <row r="8" spans="1:24">
      <c r="A8" s="110" t="s">
        <v>163</v>
      </c>
      <c r="B8" s="111"/>
      <c r="C8" s="111"/>
      <c r="D8" s="111"/>
      <c r="E8" s="111">
        <v>66120</v>
      </c>
      <c r="F8" s="111">
        <v>66120</v>
      </c>
      <c r="G8" s="111">
        <v>66120</v>
      </c>
      <c r="H8" s="111">
        <v>66120</v>
      </c>
      <c r="I8" s="111">
        <v>66120</v>
      </c>
      <c r="J8" s="111">
        <v>66120</v>
      </c>
      <c r="K8" s="111">
        <v>66120</v>
      </c>
      <c r="L8" s="111">
        <v>66120</v>
      </c>
      <c r="M8" s="111">
        <v>66120</v>
      </c>
      <c r="N8" s="111"/>
      <c r="O8" s="111"/>
      <c r="P8" s="111"/>
      <c r="Q8" s="111"/>
      <c r="R8" s="111"/>
      <c r="S8" s="111"/>
      <c r="T8" s="111"/>
      <c r="U8" s="111"/>
      <c r="V8" s="111"/>
      <c r="W8" s="111"/>
    </row>
    <row r="9" spans="1:24">
      <c r="A9" s="110"/>
      <c r="B9" s="115">
        <f ca="1">SUM(B2:B26)</f>
        <v>10136863.229999999</v>
      </c>
      <c r="C9" s="115">
        <f>SUM(C2:C7)</f>
        <v>636487.11066666665</v>
      </c>
      <c r="D9" s="115">
        <f>SUM(D2:D8)</f>
        <v>940826.53</v>
      </c>
      <c r="E9" s="115">
        <f>SUM(E2:E8)</f>
        <v>802353.77</v>
      </c>
      <c r="F9" s="115">
        <f>SUM(F2:F8)</f>
        <v>1015979.88</v>
      </c>
      <c r="G9" s="115">
        <f t="shared" ref="G9:V9" si="20">SUM(G2:G8)</f>
        <v>1015979.8800000001</v>
      </c>
      <c r="H9" s="115">
        <f t="shared" si="20"/>
        <v>1015979.88</v>
      </c>
      <c r="I9" s="115">
        <f t="shared" si="20"/>
        <v>1015979.8799999999</v>
      </c>
      <c r="J9" s="115">
        <f t="shared" si="20"/>
        <v>1015979.8799999999</v>
      </c>
      <c r="K9" s="115">
        <f t="shared" si="20"/>
        <v>1015979.8799999999</v>
      </c>
      <c r="L9" s="115">
        <f t="shared" si="20"/>
        <v>1015979.88</v>
      </c>
      <c r="M9" s="115">
        <f t="shared" si="20"/>
        <v>1015979.8800000001</v>
      </c>
      <c r="N9" s="115">
        <f t="shared" si="20"/>
        <v>1015979.88</v>
      </c>
      <c r="O9" s="115">
        <f t="shared" si="20"/>
        <v>1015979.88</v>
      </c>
      <c r="P9" s="115">
        <f t="shared" si="20"/>
        <v>1015979.88</v>
      </c>
      <c r="Q9" s="115">
        <f t="shared" si="20"/>
        <v>1015979.8800000001</v>
      </c>
      <c r="R9" s="115">
        <f t="shared" si="20"/>
        <v>1015979.88</v>
      </c>
      <c r="S9" s="115">
        <f t="shared" si="20"/>
        <v>1015979.88</v>
      </c>
      <c r="T9" s="115">
        <f t="shared" si="20"/>
        <v>1015979.88</v>
      </c>
      <c r="U9" s="115">
        <f t="shared" si="20"/>
        <v>1015979.88</v>
      </c>
      <c r="V9" s="115">
        <f t="shared" si="20"/>
        <v>1015979.88</v>
      </c>
      <c r="W9" s="115">
        <f t="shared" ref="W9" si="21">SUM(W2:W7)</f>
        <v>-203582.5406666678</v>
      </c>
    </row>
    <row r="12" spans="1:24">
      <c r="A12" s="119" t="s">
        <v>162</v>
      </c>
      <c r="B12" s="119"/>
      <c r="C12" s="118">
        <v>2024</v>
      </c>
      <c r="D12" s="118">
        <f t="shared" ref="D12" si="22">C12+1</f>
        <v>2025</v>
      </c>
      <c r="E12" s="118">
        <f t="shared" ref="E12" si="23">D12+1</f>
        <v>2026</v>
      </c>
      <c r="F12" s="118">
        <f t="shared" ref="F12" si="24">E12+1</f>
        <v>2027</v>
      </c>
      <c r="G12" s="118">
        <f t="shared" ref="G12" si="25">F12+1</f>
        <v>2028</v>
      </c>
      <c r="H12" s="118">
        <f t="shared" ref="H12" si="26">G12+1</f>
        <v>2029</v>
      </c>
      <c r="I12" s="118">
        <f t="shared" ref="I12" si="27">H12+1</f>
        <v>2030</v>
      </c>
      <c r="J12" s="118">
        <f t="shared" ref="J12" si="28">I12+1</f>
        <v>2031</v>
      </c>
      <c r="K12" s="118">
        <f t="shared" ref="K12" si="29">J12+1</f>
        <v>2032</v>
      </c>
      <c r="L12" s="118">
        <f t="shared" ref="L12" si="30">K12+1</f>
        <v>2033</v>
      </c>
      <c r="M12" s="118">
        <f t="shared" ref="M12" si="31">L12+1</f>
        <v>2034</v>
      </c>
      <c r="N12" s="118">
        <f t="shared" ref="N12" si="32">M12+1</f>
        <v>2035</v>
      </c>
      <c r="O12" s="118">
        <f t="shared" ref="O12" si="33">N12+1</f>
        <v>2036</v>
      </c>
      <c r="P12" s="118">
        <f t="shared" ref="P12" si="34">O12+1</f>
        <v>2037</v>
      </c>
      <c r="Q12" s="118">
        <f t="shared" ref="Q12" si="35">P12+1</f>
        <v>2038</v>
      </c>
      <c r="R12" s="118">
        <f t="shared" ref="R12" si="36">Q12+1</f>
        <v>2039</v>
      </c>
      <c r="S12" s="118">
        <f t="shared" ref="S12" si="37">R12+1</f>
        <v>2040</v>
      </c>
      <c r="T12" s="118">
        <f t="shared" ref="T12" si="38">S12+1</f>
        <v>2041</v>
      </c>
      <c r="U12" s="118">
        <f t="shared" ref="U12" si="39">T12+1</f>
        <v>2042</v>
      </c>
      <c r="V12" s="118">
        <f t="shared" ref="V12" si="40">U12+1</f>
        <v>2043</v>
      </c>
      <c r="W12" s="118" t="s">
        <v>157</v>
      </c>
    </row>
    <row r="13" spans="1:24">
      <c r="A13" s="110" t="s">
        <v>185</v>
      </c>
      <c r="B13" s="137"/>
      <c r="C13" s="128">
        <v>636487.11</v>
      </c>
      <c r="D13" s="111">
        <v>940826.53</v>
      </c>
      <c r="E13" s="111">
        <v>802353.77</v>
      </c>
      <c r="F13" s="111">
        <v>1015979.88</v>
      </c>
      <c r="G13" s="111">
        <v>1015979.88</v>
      </c>
      <c r="H13" s="111">
        <v>1015979.88</v>
      </c>
      <c r="I13" s="111">
        <v>1015979.88</v>
      </c>
      <c r="J13" s="111">
        <v>1015979.88</v>
      </c>
      <c r="K13" s="111">
        <v>1015979.88</v>
      </c>
      <c r="L13" s="111">
        <v>1015979.88</v>
      </c>
      <c r="M13" s="111">
        <v>1015979.88</v>
      </c>
      <c r="N13" s="111">
        <v>1015979.88</v>
      </c>
      <c r="O13" s="111">
        <v>1015979.88</v>
      </c>
      <c r="P13" s="111">
        <v>1015979.88</v>
      </c>
      <c r="Q13" s="111">
        <v>1015979.88</v>
      </c>
      <c r="R13" s="111">
        <v>1015979.88</v>
      </c>
      <c r="S13" s="111">
        <v>1015979.88</v>
      </c>
      <c r="T13" s="111">
        <v>1015979.88</v>
      </c>
      <c r="U13" s="111">
        <v>1015979.88</v>
      </c>
      <c r="V13" s="111">
        <v>1015979.88</v>
      </c>
      <c r="W13" s="111">
        <f t="shared" ref="W13:W18" si="41">SUM(C13:V13)</f>
        <v>19651325.370000005</v>
      </c>
    </row>
    <row r="14" spans="1:24">
      <c r="A14" s="110"/>
      <c r="B14" s="137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>
        <f t="shared" si="41"/>
        <v>0</v>
      </c>
    </row>
    <row r="15" spans="1:24">
      <c r="A15" s="110"/>
      <c r="B15" s="137"/>
      <c r="C15" s="111">
        <f>C4+C5</f>
        <v>561505.75066666666</v>
      </c>
      <c r="D15" s="111">
        <f>D3+D4+D5+D6+D7</f>
        <v>865845.16999999993</v>
      </c>
      <c r="E15" s="111">
        <f t="shared" ref="E15:V15" si="42">E3+E4+E5+E6+E7</f>
        <v>661252.41</v>
      </c>
      <c r="F15" s="111">
        <f t="shared" si="42"/>
        <v>874878.52</v>
      </c>
      <c r="G15" s="111">
        <f t="shared" si="42"/>
        <v>874878.52</v>
      </c>
      <c r="H15" s="111">
        <f t="shared" si="42"/>
        <v>874878.52</v>
      </c>
      <c r="I15" s="111">
        <f t="shared" si="42"/>
        <v>874878.52</v>
      </c>
      <c r="J15" s="111">
        <f t="shared" si="42"/>
        <v>874878.52</v>
      </c>
      <c r="K15" s="111">
        <f t="shared" si="42"/>
        <v>874878.52</v>
      </c>
      <c r="L15" s="111">
        <f t="shared" si="42"/>
        <v>874878.52</v>
      </c>
      <c r="M15" s="111">
        <f t="shared" si="42"/>
        <v>874878.52</v>
      </c>
      <c r="N15" s="111">
        <f t="shared" si="42"/>
        <v>940998.52</v>
      </c>
      <c r="O15" s="111">
        <f t="shared" si="42"/>
        <v>940998.52</v>
      </c>
      <c r="P15" s="111">
        <f t="shared" si="42"/>
        <v>940998.52</v>
      </c>
      <c r="Q15" s="111">
        <f t="shared" si="42"/>
        <v>940998.52000000014</v>
      </c>
      <c r="R15" s="111">
        <f t="shared" si="42"/>
        <v>940998.52</v>
      </c>
      <c r="S15" s="111">
        <f t="shared" si="42"/>
        <v>940998.52</v>
      </c>
      <c r="T15" s="111">
        <f t="shared" si="42"/>
        <v>940998.52</v>
      </c>
      <c r="U15" s="111">
        <f t="shared" si="42"/>
        <v>940998.52</v>
      </c>
      <c r="V15" s="111">
        <f t="shared" si="42"/>
        <v>940998.52</v>
      </c>
      <c r="W15" s="111">
        <f t="shared" si="41"/>
        <v>17556618.170666661</v>
      </c>
    </row>
    <row r="16" spans="1:24">
      <c r="A16" s="110"/>
      <c r="B16" s="137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>
        <f t="shared" si="41"/>
        <v>0</v>
      </c>
    </row>
    <row r="17" spans="1:23">
      <c r="A17" s="110"/>
      <c r="B17" s="137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>
        <f t="shared" si="41"/>
        <v>0</v>
      </c>
    </row>
    <row r="18" spans="1:23">
      <c r="A18" s="110"/>
      <c r="B18" s="137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>
        <f t="shared" si="41"/>
        <v>0</v>
      </c>
    </row>
    <row r="19" spans="1:23">
      <c r="A19" s="110"/>
      <c r="B19" s="137"/>
      <c r="C19" s="111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1"/>
      <c r="P19" s="111"/>
      <c r="Q19" s="111"/>
      <c r="R19" s="111"/>
      <c r="S19" s="111"/>
      <c r="T19" s="111"/>
      <c r="U19" s="111"/>
      <c r="V19" s="111"/>
      <c r="W19" s="111"/>
    </row>
    <row r="20" spans="1:23">
      <c r="A20" s="110"/>
      <c r="B20" s="137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>
        <f>SUM(C20:V20)</f>
        <v>0</v>
      </c>
    </row>
    <row r="21" spans="1:23">
      <c r="A21" s="110"/>
      <c r="B21" s="138"/>
      <c r="C21" s="116">
        <f>SUM(C13:C20)</f>
        <v>1197992.8606666666</v>
      </c>
      <c r="D21" s="116">
        <f>SUM(D13:D20)</f>
        <v>1806671.7</v>
      </c>
      <c r="E21" s="116">
        <f t="shared" ref="E21:V21" si="43">SUM(E13:E20)</f>
        <v>1463606.1800000002</v>
      </c>
      <c r="F21" s="116">
        <f t="shared" si="43"/>
        <v>1890858.4</v>
      </c>
      <c r="G21" s="116">
        <f t="shared" si="43"/>
        <v>1890858.4</v>
      </c>
      <c r="H21" s="116">
        <f t="shared" si="43"/>
        <v>1890858.4</v>
      </c>
      <c r="I21" s="116">
        <f t="shared" si="43"/>
        <v>1890858.4</v>
      </c>
      <c r="J21" s="116">
        <f t="shared" si="43"/>
        <v>1890858.4</v>
      </c>
      <c r="K21" s="116">
        <f t="shared" si="43"/>
        <v>1890858.4</v>
      </c>
      <c r="L21" s="116">
        <f t="shared" si="43"/>
        <v>1890858.4</v>
      </c>
      <c r="M21" s="116">
        <f t="shared" si="43"/>
        <v>1890858.4</v>
      </c>
      <c r="N21" s="116">
        <f t="shared" si="43"/>
        <v>1956978.4</v>
      </c>
      <c r="O21" s="116">
        <f t="shared" si="43"/>
        <v>1956978.4</v>
      </c>
      <c r="P21" s="116">
        <f t="shared" si="43"/>
        <v>1956978.4</v>
      </c>
      <c r="Q21" s="116">
        <f t="shared" si="43"/>
        <v>1956978.4000000001</v>
      </c>
      <c r="R21" s="116">
        <f t="shared" si="43"/>
        <v>1956978.4</v>
      </c>
      <c r="S21" s="116">
        <f t="shared" si="43"/>
        <v>1956978.4</v>
      </c>
      <c r="T21" s="116">
        <f t="shared" si="43"/>
        <v>1956978.4</v>
      </c>
      <c r="U21" s="116">
        <f t="shared" si="43"/>
        <v>1956978.4</v>
      </c>
      <c r="V21" s="116">
        <f t="shared" si="43"/>
        <v>1956978.4</v>
      </c>
      <c r="W21" s="116">
        <f>SUM(C21:V21)</f>
        <v>37207943.540666655</v>
      </c>
    </row>
    <row r="23" spans="1:23">
      <c r="A23" s="114" t="s">
        <v>161</v>
      </c>
      <c r="B23" s="113"/>
      <c r="C23" s="112">
        <f>C21-C9</f>
        <v>561505.75</v>
      </c>
      <c r="D23" s="112">
        <f t="shared" ref="D23:W23" si="44">D21-D9</f>
        <v>865845.16999999993</v>
      </c>
      <c r="E23" s="112">
        <f t="shared" si="44"/>
        <v>661252.41000000015</v>
      </c>
      <c r="F23" s="112">
        <f t="shared" si="44"/>
        <v>874878.5199999999</v>
      </c>
      <c r="G23" s="112">
        <f t="shared" si="44"/>
        <v>874878.51999999979</v>
      </c>
      <c r="H23" s="112">
        <f t="shared" si="44"/>
        <v>874878.5199999999</v>
      </c>
      <c r="I23" s="112">
        <f t="shared" si="44"/>
        <v>874878.52</v>
      </c>
      <c r="J23" s="112">
        <f t="shared" si="44"/>
        <v>874878.52</v>
      </c>
      <c r="K23" s="112">
        <f t="shared" si="44"/>
        <v>874878.52</v>
      </c>
      <c r="L23" s="112">
        <f t="shared" si="44"/>
        <v>874878.5199999999</v>
      </c>
      <c r="M23" s="112">
        <f t="shared" si="44"/>
        <v>874878.51999999979</v>
      </c>
      <c r="N23" s="112">
        <f t="shared" si="44"/>
        <v>940998.5199999999</v>
      </c>
      <c r="O23" s="112">
        <f t="shared" si="44"/>
        <v>940998.5199999999</v>
      </c>
      <c r="P23" s="112">
        <f t="shared" si="44"/>
        <v>940998.5199999999</v>
      </c>
      <c r="Q23" s="112">
        <f t="shared" si="44"/>
        <v>940998.52</v>
      </c>
      <c r="R23" s="112">
        <f t="shared" si="44"/>
        <v>940998.5199999999</v>
      </c>
      <c r="S23" s="112">
        <f t="shared" si="44"/>
        <v>940998.5199999999</v>
      </c>
      <c r="T23" s="112">
        <f t="shared" si="44"/>
        <v>940998.5199999999</v>
      </c>
      <c r="U23" s="112">
        <f t="shared" si="44"/>
        <v>940998.5199999999</v>
      </c>
      <c r="V23" s="112">
        <f t="shared" si="44"/>
        <v>940998.5199999999</v>
      </c>
      <c r="W23" s="112">
        <f t="shared" si="44"/>
        <v>37411526.081333324</v>
      </c>
    </row>
    <row r="26" spans="1:23">
      <c r="A26" s="110" t="s">
        <v>163</v>
      </c>
      <c r="B26" s="111">
        <f>2204*300</f>
        <v>661200</v>
      </c>
      <c r="C26" s="110"/>
      <c r="D26" s="111">
        <f>B26/10</f>
        <v>66120</v>
      </c>
      <c r="E26" s="111">
        <f>$B26/10</f>
        <v>66120</v>
      </c>
      <c r="F26" s="111">
        <f t="shared" ref="F26:M26" si="45">$B26/10</f>
        <v>66120</v>
      </c>
      <c r="G26" s="111">
        <f t="shared" si="45"/>
        <v>66120</v>
      </c>
      <c r="H26" s="111">
        <f t="shared" si="45"/>
        <v>66120</v>
      </c>
      <c r="I26" s="111">
        <f t="shared" si="45"/>
        <v>66120</v>
      </c>
      <c r="J26" s="111">
        <f t="shared" si="45"/>
        <v>66120</v>
      </c>
      <c r="K26" s="111">
        <f t="shared" si="45"/>
        <v>66120</v>
      </c>
      <c r="L26" s="111">
        <f t="shared" si="45"/>
        <v>66120</v>
      </c>
      <c r="M26" s="111">
        <f t="shared" si="45"/>
        <v>66120</v>
      </c>
    </row>
    <row r="30" spans="1:23">
      <c r="D30" s="127">
        <f>3153082.26/7910954.6</f>
        <v>0.39857165404539169</v>
      </c>
    </row>
  </sheetData>
  <mergeCells count="1">
    <mergeCell ref="B13:B21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44"/>
  <sheetViews>
    <sheetView workbookViewId="0">
      <selection sqref="A1:G44"/>
    </sheetView>
  </sheetViews>
  <sheetFormatPr defaultColWidth="11" defaultRowHeight="15.75"/>
  <cols>
    <col min="1" max="1" width="20.125" customWidth="1"/>
    <col min="2" max="7" width="19.875" style="66" customWidth="1"/>
  </cols>
  <sheetData>
    <row r="1" spans="1:7">
      <c r="A1" s="219"/>
      <c r="B1" s="222">
        <v>2024</v>
      </c>
      <c r="C1" s="224">
        <v>2025</v>
      </c>
      <c r="D1" s="224">
        <v>2026</v>
      </c>
      <c r="E1" s="224">
        <v>2027</v>
      </c>
      <c r="F1" s="224">
        <v>2028</v>
      </c>
      <c r="G1" s="224" t="s">
        <v>177</v>
      </c>
    </row>
    <row r="2" spans="1:7" ht="16.5" thickBot="1">
      <c r="A2" s="220"/>
      <c r="B2" s="223"/>
      <c r="C2" s="225"/>
      <c r="D2" s="225"/>
      <c r="E2" s="225"/>
      <c r="F2" s="225"/>
      <c r="G2" s="225"/>
    </row>
    <row r="3" spans="1:7" ht="50.1" customHeight="1">
      <c r="A3" s="220"/>
      <c r="B3" s="216" t="s">
        <v>112</v>
      </c>
      <c r="C3" s="216" t="s">
        <v>112</v>
      </c>
      <c r="D3" s="216" t="s">
        <v>112</v>
      </c>
      <c r="E3" s="216" t="s">
        <v>112</v>
      </c>
      <c r="F3" s="216" t="s">
        <v>112</v>
      </c>
      <c r="G3" s="216" t="s">
        <v>112</v>
      </c>
    </row>
    <row r="4" spans="1:7" ht="16.5" thickBot="1">
      <c r="A4" s="221"/>
      <c r="B4" s="217"/>
      <c r="C4" s="217"/>
      <c r="D4" s="217"/>
      <c r="E4" s="217"/>
      <c r="F4" s="217"/>
      <c r="G4" s="217"/>
    </row>
    <row r="5" spans="1:7">
      <c r="A5" s="213" t="s">
        <v>168</v>
      </c>
      <c r="B5" s="216">
        <v>361000</v>
      </c>
      <c r="C5" s="216">
        <v>1347195</v>
      </c>
      <c r="D5" s="216">
        <v>1416438</v>
      </c>
      <c r="E5" s="216">
        <v>1000000</v>
      </c>
      <c r="F5" s="216">
        <v>1000000</v>
      </c>
      <c r="G5" s="216">
        <v>1000000</v>
      </c>
    </row>
    <row r="6" spans="1:7">
      <c r="A6" s="214"/>
      <c r="B6" s="217"/>
      <c r="C6" s="217"/>
      <c r="D6" s="217"/>
      <c r="E6" s="217"/>
      <c r="F6" s="217"/>
      <c r="G6" s="217"/>
    </row>
    <row r="7" spans="1:7" ht="16.5" thickBot="1">
      <c r="A7" s="215"/>
      <c r="B7" s="218"/>
      <c r="C7" s="218"/>
      <c r="D7" s="218"/>
      <c r="E7" s="218"/>
      <c r="F7" s="218"/>
      <c r="G7" s="218"/>
    </row>
    <row r="8" spans="1:7" ht="24" customHeight="1">
      <c r="A8" s="213" t="s">
        <v>169</v>
      </c>
      <c r="B8" s="216">
        <v>200000</v>
      </c>
      <c r="C8" s="216">
        <v>636400</v>
      </c>
      <c r="D8" s="216">
        <v>335000</v>
      </c>
      <c r="E8" s="216">
        <v>335000</v>
      </c>
      <c r="F8" s="216">
        <v>335000</v>
      </c>
      <c r="G8" s="216">
        <v>335000</v>
      </c>
    </row>
    <row r="9" spans="1:7">
      <c r="A9" s="214"/>
      <c r="B9" s="217"/>
      <c r="C9" s="217"/>
      <c r="D9" s="217"/>
      <c r="E9" s="217"/>
      <c r="F9" s="217"/>
      <c r="G9" s="217"/>
    </row>
    <row r="10" spans="1:7" ht="16.5" thickBot="1">
      <c r="A10" s="215"/>
      <c r="B10" s="218"/>
      <c r="C10" s="218"/>
      <c r="D10" s="218"/>
      <c r="E10" s="218"/>
      <c r="F10" s="218"/>
      <c r="G10" s="218"/>
    </row>
    <row r="11" spans="1:7" ht="15.95" customHeight="1">
      <c r="A11" s="213" t="s">
        <v>192</v>
      </c>
      <c r="B11" s="226"/>
      <c r="C11" s="216">
        <v>150000</v>
      </c>
      <c r="D11" s="216">
        <v>150000</v>
      </c>
      <c r="E11" s="216">
        <v>1500000</v>
      </c>
      <c r="F11" s="216">
        <v>150000</v>
      </c>
      <c r="G11" s="216">
        <v>150000</v>
      </c>
    </row>
    <row r="12" spans="1:7">
      <c r="A12" s="214"/>
      <c r="B12" s="227"/>
      <c r="C12" s="217"/>
      <c r="D12" s="217"/>
      <c r="E12" s="217"/>
      <c r="F12" s="217"/>
      <c r="G12" s="217"/>
    </row>
    <row r="13" spans="1:7" ht="16.5" thickBot="1">
      <c r="A13" s="215"/>
      <c r="B13" s="228"/>
      <c r="C13" s="218"/>
      <c r="D13" s="218"/>
      <c r="E13" s="218"/>
      <c r="F13" s="218"/>
      <c r="G13" s="218"/>
    </row>
    <row r="14" spans="1:7" ht="16.5" thickBot="1"/>
    <row r="15" spans="1:7">
      <c r="A15" s="219"/>
      <c r="B15" s="222">
        <v>2024</v>
      </c>
      <c r="C15" s="224">
        <v>2025</v>
      </c>
      <c r="D15" s="224">
        <v>2026</v>
      </c>
      <c r="E15" s="224">
        <v>2027</v>
      </c>
      <c r="F15" s="224">
        <v>2028</v>
      </c>
      <c r="G15" s="224" t="s">
        <v>177</v>
      </c>
    </row>
    <row r="16" spans="1:7" ht="16.5" thickBot="1">
      <c r="A16" s="220"/>
      <c r="B16" s="223"/>
      <c r="C16" s="225"/>
      <c r="D16" s="225"/>
      <c r="E16" s="225"/>
      <c r="F16" s="225"/>
      <c r="G16" s="225"/>
    </row>
    <row r="17" spans="1:9" ht="15.95" customHeight="1">
      <c r="A17" s="220"/>
      <c r="B17" s="216" t="s">
        <v>193</v>
      </c>
      <c r="C17" s="216" t="s">
        <v>193</v>
      </c>
      <c r="D17" s="216" t="s">
        <v>193</v>
      </c>
      <c r="E17" s="216" t="s">
        <v>193</v>
      </c>
      <c r="F17" s="216" t="s">
        <v>193</v>
      </c>
      <c r="G17" s="216" t="s">
        <v>193</v>
      </c>
    </row>
    <row r="18" spans="1:9" ht="16.5" thickBot="1">
      <c r="A18" s="221"/>
      <c r="B18" s="217"/>
      <c r="C18" s="217"/>
      <c r="D18" s="217"/>
      <c r="E18" s="217"/>
      <c r="F18" s="217"/>
      <c r="G18" s="217"/>
    </row>
    <row r="19" spans="1:9">
      <c r="A19" s="213" t="s">
        <v>168</v>
      </c>
      <c r="B19" s="216">
        <f>B5*I20</f>
        <v>138226.90120583877</v>
      </c>
      <c r="C19" s="216">
        <v>515840.97</v>
      </c>
      <c r="D19" s="216">
        <v>542354.11</v>
      </c>
      <c r="E19" s="216">
        <v>382900</v>
      </c>
      <c r="F19" s="216">
        <v>382900</v>
      </c>
      <c r="G19" s="216">
        <v>382900</v>
      </c>
    </row>
    <row r="20" spans="1:9">
      <c r="A20" s="214"/>
      <c r="B20" s="217"/>
      <c r="C20" s="217"/>
      <c r="D20" s="217"/>
      <c r="E20" s="217"/>
      <c r="F20" s="217"/>
      <c r="G20" s="217"/>
      <c r="I20">
        <f>C19/C5</f>
        <v>0.38290000334027363</v>
      </c>
    </row>
    <row r="21" spans="1:9" ht="16.5" thickBot="1">
      <c r="A21" s="215"/>
      <c r="B21" s="218"/>
      <c r="C21" s="218"/>
      <c r="D21" s="218"/>
      <c r="E21" s="218"/>
      <c r="F21" s="218"/>
      <c r="G21" s="218"/>
    </row>
    <row r="22" spans="1:9">
      <c r="A22" s="213" t="s">
        <v>169</v>
      </c>
      <c r="B22" s="216">
        <f>B8*I23</f>
        <v>76580</v>
      </c>
      <c r="C22" s="216">
        <v>243677.56</v>
      </c>
      <c r="D22" s="216">
        <v>128271.5</v>
      </c>
      <c r="E22" s="216">
        <v>128271.5</v>
      </c>
      <c r="F22" s="216">
        <v>128271.5</v>
      </c>
      <c r="G22" s="216">
        <v>128271.5</v>
      </c>
    </row>
    <row r="23" spans="1:9">
      <c r="A23" s="214"/>
      <c r="B23" s="217"/>
      <c r="C23" s="217"/>
      <c r="D23" s="217"/>
      <c r="E23" s="217"/>
      <c r="F23" s="217"/>
      <c r="G23" s="217"/>
      <c r="I23">
        <f>C22/C8</f>
        <v>0.38290000000000002</v>
      </c>
    </row>
    <row r="24" spans="1:9" ht="16.5" thickBot="1">
      <c r="A24" s="215"/>
      <c r="B24" s="218"/>
      <c r="C24" s="218"/>
      <c r="D24" s="218"/>
      <c r="E24" s="218"/>
      <c r="F24" s="218"/>
      <c r="G24" s="218"/>
    </row>
    <row r="25" spans="1:9" ht="15.95" customHeight="1">
      <c r="A25" s="213" t="s">
        <v>192</v>
      </c>
      <c r="B25" s="226"/>
      <c r="C25" s="216">
        <v>97710</v>
      </c>
      <c r="D25" s="216">
        <v>97710</v>
      </c>
      <c r="E25" s="216">
        <v>977100</v>
      </c>
      <c r="F25" s="216">
        <v>97710</v>
      </c>
      <c r="G25" s="216">
        <v>97710</v>
      </c>
    </row>
    <row r="26" spans="1:9">
      <c r="A26" s="214"/>
      <c r="B26" s="227"/>
      <c r="C26" s="217"/>
      <c r="D26" s="217"/>
      <c r="E26" s="217"/>
      <c r="F26" s="217"/>
      <c r="G26" s="217"/>
      <c r="I26">
        <f>C25/C11</f>
        <v>0.65139999999999998</v>
      </c>
    </row>
    <row r="27" spans="1:9" ht="16.5" thickBot="1">
      <c r="A27" s="215"/>
      <c r="B27" s="228"/>
      <c r="C27" s="218"/>
      <c r="D27" s="218"/>
      <c r="E27" s="218"/>
      <c r="F27" s="218"/>
      <c r="G27" s="218"/>
    </row>
    <row r="28" spans="1:9" ht="16.5" thickBot="1"/>
    <row r="29" spans="1:9">
      <c r="A29" s="219"/>
      <c r="B29" s="222">
        <v>2024</v>
      </c>
      <c r="C29" s="224">
        <v>2025</v>
      </c>
      <c r="D29" s="224">
        <v>2026</v>
      </c>
      <c r="E29" s="224">
        <v>2027</v>
      </c>
      <c r="F29" s="224">
        <v>2028</v>
      </c>
      <c r="G29" s="224" t="s">
        <v>177</v>
      </c>
    </row>
    <row r="30" spans="1:9" ht="16.5" thickBot="1">
      <c r="A30" s="220"/>
      <c r="B30" s="223"/>
      <c r="C30" s="225"/>
      <c r="D30" s="225"/>
      <c r="E30" s="225"/>
      <c r="F30" s="225"/>
      <c r="G30" s="225"/>
    </row>
    <row r="31" spans="1:9" ht="15.95" customHeight="1">
      <c r="A31" s="220"/>
      <c r="B31" s="216" t="s">
        <v>194</v>
      </c>
      <c r="C31" s="216" t="s">
        <v>194</v>
      </c>
      <c r="D31" s="216" t="s">
        <v>194</v>
      </c>
      <c r="E31" s="216" t="s">
        <v>194</v>
      </c>
      <c r="F31" s="216" t="s">
        <v>194</v>
      </c>
      <c r="G31" s="216" t="s">
        <v>194</v>
      </c>
    </row>
    <row r="32" spans="1:9" ht="16.5" thickBot="1">
      <c r="A32" s="221"/>
      <c r="B32" s="217"/>
      <c r="C32" s="217"/>
      <c r="D32" s="217"/>
      <c r="E32" s="217"/>
      <c r="F32" s="217"/>
      <c r="G32" s="217"/>
    </row>
    <row r="33" spans="1:7">
      <c r="A33" s="213" t="s">
        <v>168</v>
      </c>
      <c r="B33" s="216">
        <f t="shared" ref="B33:G33" si="0">B5-B19</f>
        <v>222773.09879416123</v>
      </c>
      <c r="C33" s="216">
        <f t="shared" si="0"/>
        <v>831354.03</v>
      </c>
      <c r="D33" s="216">
        <f t="shared" si="0"/>
        <v>874083.89</v>
      </c>
      <c r="E33" s="216">
        <f t="shared" si="0"/>
        <v>617100</v>
      </c>
      <c r="F33" s="216">
        <f t="shared" si="0"/>
        <v>617100</v>
      </c>
      <c r="G33" s="216">
        <f t="shared" si="0"/>
        <v>617100</v>
      </c>
    </row>
    <row r="34" spans="1:7">
      <c r="A34" s="214"/>
      <c r="B34" s="217"/>
      <c r="C34" s="217"/>
      <c r="D34" s="217"/>
      <c r="E34" s="217"/>
      <c r="F34" s="217"/>
      <c r="G34" s="217"/>
    </row>
    <row r="35" spans="1:7" ht="16.5" thickBot="1">
      <c r="A35" s="215"/>
      <c r="B35" s="218"/>
      <c r="C35" s="218"/>
      <c r="D35" s="218"/>
      <c r="E35" s="218"/>
      <c r="F35" s="218"/>
      <c r="G35" s="218"/>
    </row>
    <row r="36" spans="1:7">
      <c r="A36" s="213" t="s">
        <v>169</v>
      </c>
      <c r="B36" s="216">
        <f>B8-B22</f>
        <v>123420</v>
      </c>
      <c r="C36" s="216">
        <f>C8-C22</f>
        <v>392722.44</v>
      </c>
      <c r="D36" s="216">
        <f t="shared" ref="D36:G36" si="1">D8-D22</f>
        <v>206728.5</v>
      </c>
      <c r="E36" s="216">
        <f t="shared" si="1"/>
        <v>206728.5</v>
      </c>
      <c r="F36" s="216">
        <f t="shared" si="1"/>
        <v>206728.5</v>
      </c>
      <c r="G36" s="216">
        <f t="shared" si="1"/>
        <v>206728.5</v>
      </c>
    </row>
    <row r="37" spans="1:7">
      <c r="A37" s="214"/>
      <c r="B37" s="217"/>
      <c r="C37" s="217"/>
      <c r="D37" s="217"/>
      <c r="E37" s="217"/>
      <c r="F37" s="217"/>
      <c r="G37" s="217"/>
    </row>
    <row r="38" spans="1:7" ht="16.5" thickBot="1">
      <c r="A38" s="215"/>
      <c r="B38" s="218"/>
      <c r="C38" s="218"/>
      <c r="D38" s="218"/>
      <c r="E38" s="218"/>
      <c r="F38" s="218"/>
      <c r="G38" s="218"/>
    </row>
    <row r="39" spans="1:7" ht="15.95" customHeight="1">
      <c r="A39" s="213" t="s">
        <v>192</v>
      </c>
      <c r="B39" s="226"/>
      <c r="C39" s="216">
        <f>C11-C25</f>
        <v>52290</v>
      </c>
      <c r="D39" s="216">
        <f t="shared" ref="D39:G39" si="2">D11-D25</f>
        <v>52290</v>
      </c>
      <c r="E39" s="216">
        <f t="shared" si="2"/>
        <v>522900</v>
      </c>
      <c r="F39" s="216">
        <f t="shared" si="2"/>
        <v>52290</v>
      </c>
      <c r="G39" s="216">
        <f t="shared" si="2"/>
        <v>52290</v>
      </c>
    </row>
    <row r="40" spans="1:7">
      <c r="A40" s="214"/>
      <c r="B40" s="227"/>
      <c r="C40" s="217"/>
      <c r="D40" s="217"/>
      <c r="E40" s="217"/>
      <c r="F40" s="217"/>
      <c r="G40" s="217"/>
    </row>
    <row r="41" spans="1:7" ht="16.5" thickBot="1">
      <c r="A41" s="215"/>
      <c r="B41" s="227"/>
      <c r="C41" s="217"/>
      <c r="D41" s="217"/>
      <c r="E41" s="217"/>
      <c r="F41" s="217"/>
      <c r="G41" s="217"/>
    </row>
    <row r="42" spans="1:7">
      <c r="A42" s="213" t="s">
        <v>195</v>
      </c>
      <c r="B42" s="229">
        <f>SUM(B33:B41)</f>
        <v>346193.09879416123</v>
      </c>
      <c r="C42" s="229">
        <f t="shared" ref="C42:G42" si="3">SUM(C33:C41)</f>
        <v>1276366.47</v>
      </c>
      <c r="D42" s="229">
        <f t="shared" si="3"/>
        <v>1133102.3900000001</v>
      </c>
      <c r="E42" s="229">
        <f t="shared" si="3"/>
        <v>1346728.5</v>
      </c>
      <c r="F42" s="229">
        <f t="shared" si="3"/>
        <v>876118.5</v>
      </c>
      <c r="G42" s="232">
        <f t="shared" si="3"/>
        <v>876118.5</v>
      </c>
    </row>
    <row r="43" spans="1:7">
      <c r="A43" s="214"/>
      <c r="B43" s="230"/>
      <c r="C43" s="230"/>
      <c r="D43" s="230"/>
      <c r="E43" s="230"/>
      <c r="F43" s="230"/>
      <c r="G43" s="233"/>
    </row>
    <row r="44" spans="1:7" ht="16.5" thickBot="1">
      <c r="A44" s="215"/>
      <c r="B44" s="231"/>
      <c r="C44" s="231"/>
      <c r="D44" s="231"/>
      <c r="E44" s="231"/>
      <c r="F44" s="231"/>
      <c r="G44" s="234"/>
    </row>
  </sheetData>
  <mergeCells count="109">
    <mergeCell ref="F39:F41"/>
    <mergeCell ref="G39:G41"/>
    <mergeCell ref="A42:A44"/>
    <mergeCell ref="B42:B44"/>
    <mergeCell ref="C42:C44"/>
    <mergeCell ref="D42:D44"/>
    <mergeCell ref="E42:E44"/>
    <mergeCell ref="F42:F44"/>
    <mergeCell ref="G42:G44"/>
    <mergeCell ref="A39:A41"/>
    <mergeCell ref="B39:B41"/>
    <mergeCell ref="C39:C41"/>
    <mergeCell ref="D39:D41"/>
    <mergeCell ref="E39:E41"/>
    <mergeCell ref="F33:F35"/>
    <mergeCell ref="G33:G35"/>
    <mergeCell ref="A36:A38"/>
    <mergeCell ref="B36:B38"/>
    <mergeCell ref="C36:C38"/>
    <mergeCell ref="D36:D38"/>
    <mergeCell ref="E36:E38"/>
    <mergeCell ref="F36:F38"/>
    <mergeCell ref="G36:G38"/>
    <mergeCell ref="A33:A35"/>
    <mergeCell ref="B33:B35"/>
    <mergeCell ref="C33:C35"/>
    <mergeCell ref="D33:D35"/>
    <mergeCell ref="E33:E35"/>
    <mergeCell ref="F25:F27"/>
    <mergeCell ref="G25:G27"/>
    <mergeCell ref="A29:A32"/>
    <mergeCell ref="B29:B30"/>
    <mergeCell ref="C29:C30"/>
    <mergeCell ref="D29:D30"/>
    <mergeCell ref="E29:E30"/>
    <mergeCell ref="F29:F30"/>
    <mergeCell ref="G29:G30"/>
    <mergeCell ref="B31:B32"/>
    <mergeCell ref="C31:C32"/>
    <mergeCell ref="D31:D32"/>
    <mergeCell ref="E31:E32"/>
    <mergeCell ref="F31:F32"/>
    <mergeCell ref="G31:G32"/>
    <mergeCell ref="A25:A27"/>
    <mergeCell ref="B25:B27"/>
    <mergeCell ref="C25:C27"/>
    <mergeCell ref="D25:D27"/>
    <mergeCell ref="E25:E27"/>
    <mergeCell ref="F19:F21"/>
    <mergeCell ref="G19:G21"/>
    <mergeCell ref="A22:A24"/>
    <mergeCell ref="B22:B24"/>
    <mergeCell ref="C22:C24"/>
    <mergeCell ref="D22:D24"/>
    <mergeCell ref="E22:E24"/>
    <mergeCell ref="F22:F24"/>
    <mergeCell ref="G22:G24"/>
    <mergeCell ref="A19:A21"/>
    <mergeCell ref="B19:B21"/>
    <mergeCell ref="C19:C21"/>
    <mergeCell ref="D19:D21"/>
    <mergeCell ref="E19:E21"/>
    <mergeCell ref="F15:F16"/>
    <mergeCell ref="G15:G16"/>
    <mergeCell ref="B17:B18"/>
    <mergeCell ref="C17:C18"/>
    <mergeCell ref="D17:D18"/>
    <mergeCell ref="E17:E18"/>
    <mergeCell ref="F17:F18"/>
    <mergeCell ref="G17:G18"/>
    <mergeCell ref="A15:A18"/>
    <mergeCell ref="B15:B16"/>
    <mergeCell ref="C15:C16"/>
    <mergeCell ref="D15:D16"/>
    <mergeCell ref="E15:E16"/>
    <mergeCell ref="C11:C13"/>
    <mergeCell ref="D11:D13"/>
    <mergeCell ref="E11:E13"/>
    <mergeCell ref="F11:F13"/>
    <mergeCell ref="G8:G10"/>
    <mergeCell ref="B8:B10"/>
    <mergeCell ref="C8:C10"/>
    <mergeCell ref="D8:D10"/>
    <mergeCell ref="E8:E10"/>
    <mergeCell ref="F8:F10"/>
    <mergeCell ref="A8:A10"/>
    <mergeCell ref="A11:A13"/>
    <mergeCell ref="A5:A7"/>
    <mergeCell ref="B5:B7"/>
    <mergeCell ref="A1:A4"/>
    <mergeCell ref="B1:B2"/>
    <mergeCell ref="F5:F7"/>
    <mergeCell ref="G5:G7"/>
    <mergeCell ref="E5:E7"/>
    <mergeCell ref="C5:C7"/>
    <mergeCell ref="D5:D7"/>
    <mergeCell ref="C1:C2"/>
    <mergeCell ref="D1:D2"/>
    <mergeCell ref="E1:E2"/>
    <mergeCell ref="G1:G2"/>
    <mergeCell ref="B3:B4"/>
    <mergeCell ref="C3:C4"/>
    <mergeCell ref="D3:D4"/>
    <mergeCell ref="E3:E4"/>
    <mergeCell ref="F3:F4"/>
    <mergeCell ref="G3:G4"/>
    <mergeCell ref="F1:F2"/>
    <mergeCell ref="G11:G13"/>
    <mergeCell ref="B11:B13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11"/>
  <sheetViews>
    <sheetView zoomScaleNormal="100" workbookViewId="0">
      <pane xSplit="2" topLeftCell="M1" activePane="topRight" state="frozen"/>
      <selection pane="topRight" activeCell="U4" sqref="U4"/>
    </sheetView>
  </sheetViews>
  <sheetFormatPr defaultColWidth="11" defaultRowHeight="15.75"/>
  <cols>
    <col min="1" max="1" width="33.625" customWidth="1"/>
    <col min="2" max="2" width="16.5" customWidth="1"/>
    <col min="3" max="10" width="17" customWidth="1"/>
    <col min="11" max="11" width="15.125" bestFit="1" customWidth="1"/>
    <col min="12" max="21" width="17" customWidth="1"/>
    <col min="22" max="22" width="16.5" customWidth="1"/>
  </cols>
  <sheetData>
    <row r="1" spans="1:22" ht="24" customHeight="1">
      <c r="A1" s="237"/>
      <c r="B1" s="185" t="s">
        <v>202</v>
      </c>
      <c r="C1" s="185">
        <v>2024</v>
      </c>
      <c r="D1" s="185">
        <f>C1+1</f>
        <v>2025</v>
      </c>
      <c r="E1" s="185">
        <f t="shared" ref="E1:L1" si="0">D1+1</f>
        <v>2026</v>
      </c>
      <c r="F1" s="185">
        <f t="shared" si="0"/>
        <v>2027</v>
      </c>
      <c r="G1" s="185">
        <f t="shared" si="0"/>
        <v>2028</v>
      </c>
      <c r="H1" s="185">
        <f t="shared" si="0"/>
        <v>2029</v>
      </c>
      <c r="I1" s="185">
        <f t="shared" si="0"/>
        <v>2030</v>
      </c>
      <c r="J1" s="185">
        <f t="shared" si="0"/>
        <v>2031</v>
      </c>
      <c r="K1" s="185">
        <f t="shared" si="0"/>
        <v>2032</v>
      </c>
      <c r="L1" s="185">
        <f t="shared" si="0"/>
        <v>2033</v>
      </c>
      <c r="M1" s="185">
        <f t="shared" ref="M1" si="1">L1+1</f>
        <v>2034</v>
      </c>
      <c r="N1" s="185">
        <f t="shared" ref="N1" si="2">M1+1</f>
        <v>2035</v>
      </c>
      <c r="O1" s="185">
        <f t="shared" ref="O1" si="3">N1+1</f>
        <v>2036</v>
      </c>
      <c r="P1" s="185">
        <f t="shared" ref="P1" si="4">O1+1</f>
        <v>2037</v>
      </c>
      <c r="Q1" s="185">
        <f t="shared" ref="Q1" si="5">P1+1</f>
        <v>2038</v>
      </c>
      <c r="R1" s="185">
        <f t="shared" ref="R1" si="6">Q1+1</f>
        <v>2039</v>
      </c>
      <c r="S1" s="185">
        <f t="shared" ref="S1" si="7">R1+1</f>
        <v>2040</v>
      </c>
      <c r="T1" s="185">
        <f t="shared" ref="T1" si="8">S1+1</f>
        <v>2041</v>
      </c>
      <c r="U1" s="185">
        <f t="shared" ref="U1" si="9">T1+1</f>
        <v>2042</v>
      </c>
      <c r="V1" s="185">
        <f t="shared" ref="V1" si="10">U1+1</f>
        <v>2043</v>
      </c>
    </row>
    <row r="2" spans="1:22">
      <c r="A2" s="238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</row>
    <row r="3" spans="1:22" ht="16.5" thickBot="1">
      <c r="A3" s="239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</row>
    <row r="4" spans="1:22" ht="17.100000000000001" customHeight="1" thickBot="1">
      <c r="A4" s="67" t="s">
        <v>124</v>
      </c>
      <c r="B4" s="81">
        <f>'Rendiconto 2023'!B8</f>
        <v>1438462.35</v>
      </c>
      <c r="C4" s="81">
        <f>'Previsione Entrate'!B9</f>
        <v>2337368.25</v>
      </c>
      <c r="D4" s="81">
        <f>'Previsione Entrate'!C9</f>
        <v>3497589.47</v>
      </c>
      <c r="E4" s="81">
        <f>'Previsione Entrate'!D9</f>
        <v>3282645.57</v>
      </c>
      <c r="F4" s="81">
        <f>'Previsione Entrate'!$E$9</f>
        <v>2866207.57</v>
      </c>
      <c r="G4" s="81">
        <f>'Previsione Entrate'!$E$9</f>
        <v>2866207.57</v>
      </c>
      <c r="H4" s="81">
        <f>'Previsione Entrate'!$E$9</f>
        <v>2866207.57</v>
      </c>
      <c r="I4" s="81">
        <f>'Previsione Entrate'!$E$9</f>
        <v>2866207.57</v>
      </c>
      <c r="J4" s="81">
        <f>'Previsione Entrate'!$E$9</f>
        <v>2866207.57</v>
      </c>
      <c r="K4" s="81">
        <f>'Previsione Entrate'!$E$9</f>
        <v>2866207.57</v>
      </c>
      <c r="L4" s="81">
        <f>'Previsione Entrate'!$E$9</f>
        <v>2866207.57</v>
      </c>
      <c r="M4" s="81">
        <f>'Previsione Entrate'!$E$9</f>
        <v>2866207.57</v>
      </c>
      <c r="N4" s="81">
        <f>'Previsione Entrate'!$E$9</f>
        <v>2866207.57</v>
      </c>
      <c r="O4" s="81">
        <f>'Previsione Entrate'!$E$9</f>
        <v>2866207.57</v>
      </c>
      <c r="P4" s="81">
        <f>'Previsione Entrate'!$E$9</f>
        <v>2866207.57</v>
      </c>
      <c r="Q4" s="81">
        <f>'Previsione Entrate'!$E$9</f>
        <v>2866207.57</v>
      </c>
      <c r="R4" s="81">
        <f>'Previsione Entrate'!$E$9</f>
        <v>2866207.57</v>
      </c>
      <c r="S4" s="81">
        <f>'Previsione Entrate'!$E$9</f>
        <v>2866207.57</v>
      </c>
      <c r="T4" s="81">
        <f>'Previsione Entrate'!$E$9</f>
        <v>2866207.57</v>
      </c>
      <c r="U4" s="81">
        <f>'Previsione Entrate'!$E$9</f>
        <v>2866207.57</v>
      </c>
      <c r="V4" s="81">
        <f>'Previsione Entrate'!$E$9</f>
        <v>2866207.57</v>
      </c>
    </row>
    <row r="5" spans="1:22" ht="17.100000000000001" customHeight="1" thickBot="1">
      <c r="A5" s="67" t="s">
        <v>125</v>
      </c>
      <c r="B5" s="81">
        <f>'Rendiconto 2023'!B10</f>
        <v>928033.37</v>
      </c>
      <c r="C5" s="81">
        <f>'Previsione Entrate'!B11</f>
        <v>665289.29</v>
      </c>
      <c r="D5" s="81">
        <f>'Previsione Entrate'!$C$11</f>
        <v>624574.29</v>
      </c>
      <c r="E5" s="81">
        <f>'Previsione Entrate'!$C$11</f>
        <v>624574.29</v>
      </c>
      <c r="F5" s="81">
        <f>'Previsione Entrate'!$C$11</f>
        <v>624574.29</v>
      </c>
      <c r="G5" s="81">
        <f>'Previsione Entrate'!$C$11</f>
        <v>624574.29</v>
      </c>
      <c r="H5" s="81">
        <f>'Previsione Entrate'!$C$11</f>
        <v>624574.29</v>
      </c>
      <c r="I5" s="81">
        <f>'Previsione Entrate'!$C$11</f>
        <v>624574.29</v>
      </c>
      <c r="J5" s="81">
        <f>'Previsione Entrate'!$C$11</f>
        <v>624574.29</v>
      </c>
      <c r="K5" s="81">
        <f>'Previsione Entrate'!$C$11</f>
        <v>624574.29</v>
      </c>
      <c r="L5" s="81">
        <f>'Previsione Entrate'!$C$11</f>
        <v>624574.29</v>
      </c>
      <c r="M5" s="81">
        <f>'Previsione Entrate'!$C$11</f>
        <v>624574.29</v>
      </c>
      <c r="N5" s="81">
        <f>'Previsione Entrate'!$C$11</f>
        <v>624574.29</v>
      </c>
      <c r="O5" s="81">
        <f>'Previsione Entrate'!$C$11</f>
        <v>624574.29</v>
      </c>
      <c r="P5" s="81">
        <f>'Previsione Entrate'!$C$11</f>
        <v>624574.29</v>
      </c>
      <c r="Q5" s="81">
        <f>'Previsione Entrate'!$C$11</f>
        <v>624574.29</v>
      </c>
      <c r="R5" s="81">
        <f>'Previsione Entrate'!$C$11</f>
        <v>624574.29</v>
      </c>
      <c r="S5" s="81">
        <f>'Previsione Entrate'!$C$11</f>
        <v>624574.29</v>
      </c>
      <c r="T5" s="81">
        <f>'Previsione Entrate'!$C$11</f>
        <v>624574.29</v>
      </c>
      <c r="U5" s="81">
        <f>'Previsione Entrate'!$C$11</f>
        <v>624574.29</v>
      </c>
      <c r="V5" s="81">
        <f>'Previsione Entrate'!$C$11</f>
        <v>624574.29</v>
      </c>
    </row>
    <row r="6" spans="1:22" ht="17.100000000000001" customHeight="1" thickBot="1">
      <c r="A6" s="67" t="s">
        <v>126</v>
      </c>
      <c r="B6" s="81">
        <f>'Rendiconto 2023'!B11</f>
        <v>574640.47</v>
      </c>
      <c r="C6" s="81">
        <f>'Previsione Entrate'!B12</f>
        <v>890155.3</v>
      </c>
      <c r="D6" s="81">
        <f>'Previsione Entrate'!C12</f>
        <v>940156.2</v>
      </c>
      <c r="E6" s="81">
        <f>'Previsione Entrate'!D12</f>
        <v>940156.2</v>
      </c>
      <c r="F6" s="81">
        <f>'Previsione Entrate'!E12</f>
        <v>2290156.2000000002</v>
      </c>
      <c r="G6" s="81">
        <f>'Previsione Entrate'!$F$12</f>
        <v>1440156.2000000002</v>
      </c>
      <c r="H6" s="81">
        <f>'Previsione Entrate'!$F$12</f>
        <v>1440156.2000000002</v>
      </c>
      <c r="I6" s="81">
        <f>'Previsione Entrate'!$F$12</f>
        <v>1440156.2000000002</v>
      </c>
      <c r="J6" s="81">
        <f>'Previsione Entrate'!$F$12</f>
        <v>1440156.2000000002</v>
      </c>
      <c r="K6" s="81">
        <f>'Previsione Entrate'!$F$12</f>
        <v>1440156.2000000002</v>
      </c>
      <c r="L6" s="81">
        <f>'Previsione Entrate'!$F$12</f>
        <v>1440156.2000000002</v>
      </c>
      <c r="M6" s="81">
        <f>'Previsione Entrate'!$F$12</f>
        <v>1440156.2000000002</v>
      </c>
      <c r="N6" s="81">
        <f>'Previsione Entrate'!$F$12</f>
        <v>1440156.2000000002</v>
      </c>
      <c r="O6" s="81">
        <f>'Previsione Entrate'!$F$12</f>
        <v>1440156.2000000002</v>
      </c>
      <c r="P6" s="81">
        <f>'Previsione Entrate'!$F$12</f>
        <v>1440156.2000000002</v>
      </c>
      <c r="Q6" s="81">
        <f>'Previsione Entrate'!$F$12</f>
        <v>1440156.2000000002</v>
      </c>
      <c r="R6" s="81">
        <f>'Previsione Entrate'!$F$12</f>
        <v>1440156.2000000002</v>
      </c>
      <c r="S6" s="81">
        <f>'Previsione Entrate'!$F$12</f>
        <v>1440156.2000000002</v>
      </c>
      <c r="T6" s="81">
        <f>'Previsione Entrate'!$F$12</f>
        <v>1440156.2000000002</v>
      </c>
      <c r="U6" s="81">
        <f>'Previsione Entrate'!$F$12</f>
        <v>1440156.2000000002</v>
      </c>
      <c r="V6" s="81">
        <f>'Previsione Entrate'!$F$12</f>
        <v>1440156.2000000002</v>
      </c>
    </row>
    <row r="7" spans="1:22">
      <c r="A7" s="82"/>
      <c r="B7" s="235">
        <f>SUM(B4:B6)</f>
        <v>2941136.1900000004</v>
      </c>
      <c r="C7" s="235">
        <f>SUM(C4:C6)</f>
        <v>3892812.84</v>
      </c>
      <c r="D7" s="235">
        <f>SUM(D4:D6)</f>
        <v>5062319.96</v>
      </c>
      <c r="E7" s="235">
        <f t="shared" ref="E7:L7" si="11">SUM(E4:E6)</f>
        <v>4847376.0599999996</v>
      </c>
      <c r="F7" s="235">
        <f t="shared" si="11"/>
        <v>5780938.0600000005</v>
      </c>
      <c r="G7" s="235">
        <f t="shared" si="11"/>
        <v>4930938.0600000005</v>
      </c>
      <c r="H7" s="235">
        <f t="shared" si="11"/>
        <v>4930938.0600000005</v>
      </c>
      <c r="I7" s="235">
        <f t="shared" si="11"/>
        <v>4930938.0600000005</v>
      </c>
      <c r="J7" s="235">
        <f t="shared" si="11"/>
        <v>4930938.0600000005</v>
      </c>
      <c r="K7" s="235">
        <f t="shared" si="11"/>
        <v>4930938.0600000005</v>
      </c>
      <c r="L7" s="235">
        <f t="shared" si="11"/>
        <v>4930938.0600000005</v>
      </c>
      <c r="M7" s="235">
        <f t="shared" ref="M7:V7" si="12">SUM(M4:M6)</f>
        <v>4930938.0600000005</v>
      </c>
      <c r="N7" s="235">
        <f t="shared" si="12"/>
        <v>4930938.0600000005</v>
      </c>
      <c r="O7" s="235">
        <f t="shared" si="12"/>
        <v>4930938.0600000005</v>
      </c>
      <c r="P7" s="235">
        <f t="shared" si="12"/>
        <v>4930938.0600000005</v>
      </c>
      <c r="Q7" s="235">
        <f t="shared" si="12"/>
        <v>4930938.0600000005</v>
      </c>
      <c r="R7" s="235">
        <f t="shared" si="12"/>
        <v>4930938.0600000005</v>
      </c>
      <c r="S7" s="235">
        <f t="shared" si="12"/>
        <v>4930938.0600000005</v>
      </c>
      <c r="T7" s="235">
        <f t="shared" si="12"/>
        <v>4930938.0600000005</v>
      </c>
      <c r="U7" s="235">
        <f t="shared" si="12"/>
        <v>4930938.0600000005</v>
      </c>
      <c r="V7" s="235">
        <f t="shared" si="12"/>
        <v>4930938.0600000005</v>
      </c>
    </row>
    <row r="8" spans="1:22" ht="16.5" thickBot="1">
      <c r="A8" s="67" t="s">
        <v>127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</row>
    <row r="9" spans="1:22" ht="16.5" thickBot="1">
      <c r="A9" s="67" t="s">
        <v>128</v>
      </c>
      <c r="B9" s="81">
        <f>B4+B6</f>
        <v>2013102.82</v>
      </c>
      <c r="C9" s="81">
        <f>C4+C6</f>
        <v>3227523.55</v>
      </c>
      <c r="D9" s="81">
        <f>D4+D6</f>
        <v>4437745.67</v>
      </c>
      <c r="E9" s="81">
        <f t="shared" ref="E9:L9" si="13">E4+E6</f>
        <v>4222801.7699999996</v>
      </c>
      <c r="F9" s="81">
        <f t="shared" si="13"/>
        <v>5156363.7699999996</v>
      </c>
      <c r="G9" s="81">
        <f t="shared" si="13"/>
        <v>4306363.7699999996</v>
      </c>
      <c r="H9" s="81">
        <f t="shared" si="13"/>
        <v>4306363.7699999996</v>
      </c>
      <c r="I9" s="81">
        <f t="shared" si="13"/>
        <v>4306363.7699999996</v>
      </c>
      <c r="J9" s="81">
        <f t="shared" si="13"/>
        <v>4306363.7699999996</v>
      </c>
      <c r="K9" s="81">
        <f t="shared" si="13"/>
        <v>4306363.7699999996</v>
      </c>
      <c r="L9" s="81">
        <f t="shared" si="13"/>
        <v>4306363.7699999996</v>
      </c>
      <c r="M9" s="81">
        <f t="shared" ref="M9:V9" si="14">M4+M6</f>
        <v>4306363.7699999996</v>
      </c>
      <c r="N9" s="81">
        <f t="shared" si="14"/>
        <v>4306363.7699999996</v>
      </c>
      <c r="O9" s="81">
        <f t="shared" si="14"/>
        <v>4306363.7699999996</v>
      </c>
      <c r="P9" s="81">
        <f t="shared" si="14"/>
        <v>4306363.7699999996</v>
      </c>
      <c r="Q9" s="81">
        <f t="shared" si="14"/>
        <v>4306363.7699999996</v>
      </c>
      <c r="R9" s="81">
        <f t="shared" si="14"/>
        <v>4306363.7699999996</v>
      </c>
      <c r="S9" s="81">
        <f t="shared" si="14"/>
        <v>4306363.7699999996</v>
      </c>
      <c r="T9" s="81">
        <f t="shared" si="14"/>
        <v>4306363.7699999996</v>
      </c>
      <c r="U9" s="81">
        <f t="shared" si="14"/>
        <v>4306363.7699999996</v>
      </c>
      <c r="V9" s="81">
        <f t="shared" si="14"/>
        <v>4306363.7699999996</v>
      </c>
    </row>
    <row r="10" spans="1:22" ht="16.5" thickBot="1">
      <c r="A10" s="67" t="s">
        <v>129</v>
      </c>
      <c r="B10" s="83">
        <f>B9/B7</f>
        <v>0.68446433281282348</v>
      </c>
      <c r="C10" s="83">
        <f>C9/C7</f>
        <v>0.82909805394086189</v>
      </c>
      <c r="D10" s="83">
        <f>D9/D7</f>
        <v>0.87662291302503925</v>
      </c>
      <c r="E10" s="83">
        <f t="shared" ref="E10:L10" si="15">E9/E7</f>
        <v>0.87115208676423583</v>
      </c>
      <c r="F10" s="83">
        <f t="shared" si="15"/>
        <v>0.89195969866523683</v>
      </c>
      <c r="G10" s="83">
        <f t="shared" si="15"/>
        <v>0.87333560421969669</v>
      </c>
      <c r="H10" s="83">
        <f t="shared" si="15"/>
        <v>0.87333560421969669</v>
      </c>
      <c r="I10" s="83">
        <f t="shared" si="15"/>
        <v>0.87333560421969669</v>
      </c>
      <c r="J10" s="83">
        <f t="shared" si="15"/>
        <v>0.87333560421969669</v>
      </c>
      <c r="K10" s="83">
        <f t="shared" si="15"/>
        <v>0.87333560421969669</v>
      </c>
      <c r="L10" s="83">
        <f t="shared" si="15"/>
        <v>0.87333560421969669</v>
      </c>
      <c r="M10" s="83">
        <f t="shared" ref="M10:V10" si="16">M9/M7</f>
        <v>0.87333560421969669</v>
      </c>
      <c r="N10" s="83">
        <f t="shared" si="16"/>
        <v>0.87333560421969669</v>
      </c>
      <c r="O10" s="83">
        <f t="shared" si="16"/>
        <v>0.87333560421969669</v>
      </c>
      <c r="P10" s="83">
        <f t="shared" si="16"/>
        <v>0.87333560421969669</v>
      </c>
      <c r="Q10" s="83">
        <f t="shared" si="16"/>
        <v>0.87333560421969669</v>
      </c>
      <c r="R10" s="83">
        <f t="shared" si="16"/>
        <v>0.87333560421969669</v>
      </c>
      <c r="S10" s="83">
        <f t="shared" si="16"/>
        <v>0.87333560421969669</v>
      </c>
      <c r="T10" s="83">
        <f t="shared" si="16"/>
        <v>0.87333560421969669</v>
      </c>
      <c r="U10" s="83">
        <f t="shared" si="16"/>
        <v>0.87333560421969669</v>
      </c>
      <c r="V10" s="83">
        <f t="shared" si="16"/>
        <v>0.87333560421969669</v>
      </c>
    </row>
    <row r="11" spans="1:22" ht="16.5" thickBot="1">
      <c r="A11" s="67" t="s">
        <v>130</v>
      </c>
      <c r="B11" s="84" t="s">
        <v>131</v>
      </c>
      <c r="C11" s="83">
        <f>(C10-$B10)/$B10</f>
        <v>0.21130936148807414</v>
      </c>
      <c r="D11" s="83">
        <f t="shared" ref="D11:V11" si="17">(D10-$B10)/$B10</f>
        <v>0.28074301464699442</v>
      </c>
      <c r="E11" s="83">
        <f t="shared" si="17"/>
        <v>0.27275015658480595</v>
      </c>
      <c r="F11" s="83">
        <f t="shared" si="17"/>
        <v>0.30315000490924909</v>
      </c>
      <c r="G11" s="83">
        <f t="shared" si="17"/>
        <v>0.27594026796210397</v>
      </c>
      <c r="H11" s="83">
        <f t="shared" si="17"/>
        <v>0.27594026796210397</v>
      </c>
      <c r="I11" s="83">
        <f t="shared" si="17"/>
        <v>0.27594026796210397</v>
      </c>
      <c r="J11" s="83">
        <f t="shared" si="17"/>
        <v>0.27594026796210397</v>
      </c>
      <c r="K11" s="83">
        <f t="shared" si="17"/>
        <v>0.27594026796210397</v>
      </c>
      <c r="L11" s="83">
        <f t="shared" si="17"/>
        <v>0.27594026796210397</v>
      </c>
      <c r="M11" s="83">
        <f t="shared" si="17"/>
        <v>0.27594026796210397</v>
      </c>
      <c r="N11" s="83">
        <f t="shared" si="17"/>
        <v>0.27594026796210397</v>
      </c>
      <c r="O11" s="83">
        <f t="shared" si="17"/>
        <v>0.27594026796210397</v>
      </c>
      <c r="P11" s="83">
        <f t="shared" si="17"/>
        <v>0.27594026796210397</v>
      </c>
      <c r="Q11" s="83">
        <f t="shared" si="17"/>
        <v>0.27594026796210397</v>
      </c>
      <c r="R11" s="83">
        <f t="shared" si="17"/>
        <v>0.27594026796210397</v>
      </c>
      <c r="S11" s="83">
        <f t="shared" si="17"/>
        <v>0.27594026796210397</v>
      </c>
      <c r="T11" s="83">
        <f t="shared" si="17"/>
        <v>0.27594026796210397</v>
      </c>
      <c r="U11" s="83">
        <f t="shared" si="17"/>
        <v>0.27594026796210397</v>
      </c>
      <c r="V11" s="83">
        <f t="shared" si="17"/>
        <v>0.27594026796210397</v>
      </c>
    </row>
  </sheetData>
  <mergeCells count="43">
    <mergeCell ref="G7:G8"/>
    <mergeCell ref="H7:H8"/>
    <mergeCell ref="C7:C8"/>
    <mergeCell ref="D7:D8"/>
    <mergeCell ref="E7:E8"/>
    <mergeCell ref="F7:F8"/>
    <mergeCell ref="I7:I8"/>
    <mergeCell ref="J7:J8"/>
    <mergeCell ref="K7:K8"/>
    <mergeCell ref="L7:L8"/>
    <mergeCell ref="K1:K3"/>
    <mergeCell ref="L1:L3"/>
    <mergeCell ref="A1:A3"/>
    <mergeCell ref="C1:C3"/>
    <mergeCell ref="D1:D3"/>
    <mergeCell ref="E1:E3"/>
    <mergeCell ref="F1:F3"/>
    <mergeCell ref="B1:B3"/>
    <mergeCell ref="O1:O3"/>
    <mergeCell ref="P1:P3"/>
    <mergeCell ref="Q1:Q3"/>
    <mergeCell ref="R1:R3"/>
    <mergeCell ref="G1:G3"/>
    <mergeCell ref="H1:H3"/>
    <mergeCell ref="I1:I3"/>
    <mergeCell ref="J1:J3"/>
    <mergeCell ref="M1:M3"/>
    <mergeCell ref="B7:B8"/>
    <mergeCell ref="S1:S3"/>
    <mergeCell ref="T1:T3"/>
    <mergeCell ref="U1:U3"/>
    <mergeCell ref="V1:V3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N1:N3"/>
  </mergeCells>
  <pageMargins left="0.7" right="0.7" top="0.75" bottom="0.75" header="0.3" footer="0.3"/>
  <pageSetup paperSize="9" scale="56" orientation="landscape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24"/>
  <sheetViews>
    <sheetView zoomScale="90" zoomScaleNormal="90" workbookViewId="0">
      <selection activeCell="A2" sqref="A2:A5"/>
    </sheetView>
  </sheetViews>
  <sheetFormatPr defaultColWidth="11" defaultRowHeight="15.75"/>
  <cols>
    <col min="1" max="1" width="64.375" customWidth="1"/>
    <col min="2" max="22" width="17.125" customWidth="1"/>
  </cols>
  <sheetData>
    <row r="1" spans="1:22" s="66" customFormat="1" ht="16.5" thickBot="1">
      <c r="A1" s="85"/>
      <c r="B1" s="86">
        <v>2023</v>
      </c>
      <c r="C1" s="86">
        <v>2024</v>
      </c>
      <c r="D1" s="86">
        <f t="shared" ref="D1:L1" si="0">C1+1</f>
        <v>2025</v>
      </c>
      <c r="E1" s="86">
        <f t="shared" si="0"/>
        <v>2026</v>
      </c>
      <c r="F1" s="86">
        <f t="shared" si="0"/>
        <v>2027</v>
      </c>
      <c r="G1" s="86">
        <f t="shared" si="0"/>
        <v>2028</v>
      </c>
      <c r="H1" s="86">
        <f t="shared" si="0"/>
        <v>2029</v>
      </c>
      <c r="I1" s="86">
        <f t="shared" si="0"/>
        <v>2030</v>
      </c>
      <c r="J1" s="86">
        <f t="shared" si="0"/>
        <v>2031</v>
      </c>
      <c r="K1" s="86">
        <f t="shared" si="0"/>
        <v>2032</v>
      </c>
      <c r="L1" s="86">
        <f t="shared" si="0"/>
        <v>2033</v>
      </c>
      <c r="M1" s="86">
        <f t="shared" ref="M1" si="1">L1+1</f>
        <v>2034</v>
      </c>
      <c r="N1" s="86">
        <f t="shared" ref="N1" si="2">M1+1</f>
        <v>2035</v>
      </c>
      <c r="O1" s="86">
        <f t="shared" ref="O1" si="3">N1+1</f>
        <v>2036</v>
      </c>
      <c r="P1" s="86">
        <f t="shared" ref="P1" si="4">O1+1</f>
        <v>2037</v>
      </c>
      <c r="Q1" s="86">
        <f t="shared" ref="Q1" si="5">P1+1</f>
        <v>2038</v>
      </c>
      <c r="R1" s="86">
        <f t="shared" ref="R1" si="6">Q1+1</f>
        <v>2039</v>
      </c>
      <c r="S1" s="86">
        <f t="shared" ref="S1" si="7">R1+1</f>
        <v>2040</v>
      </c>
      <c r="T1" s="86">
        <f t="shared" ref="T1" si="8">S1+1</f>
        <v>2041</v>
      </c>
      <c r="U1" s="86">
        <f t="shared" ref="U1" si="9">T1+1</f>
        <v>2042</v>
      </c>
      <c r="V1" s="86">
        <f t="shared" ref="V1" si="10">U1+1</f>
        <v>2043</v>
      </c>
    </row>
    <row r="2" spans="1:22">
      <c r="A2" s="157" t="s">
        <v>134</v>
      </c>
      <c r="B2" s="242">
        <v>2325821.2200000002</v>
      </c>
      <c r="C2" s="242">
        <f>'Previsione Spese'!B4</f>
        <v>3776372.37</v>
      </c>
      <c r="D2" s="242">
        <f>'Previsione Spese'!C4</f>
        <v>4324686.3100000005</v>
      </c>
      <c r="E2" s="242">
        <f>'Previsione Spese'!D4</f>
        <v>4103777.9800000004</v>
      </c>
      <c r="F2" s="242">
        <f>'Previsione Spese'!E4</f>
        <v>5038030.78</v>
      </c>
      <c r="G2" s="242">
        <f>'Previsione Spese'!$F$4</f>
        <v>4188030.7800000003</v>
      </c>
      <c r="H2" s="242">
        <f>'Previsione Spese'!$F$4</f>
        <v>4188030.7800000003</v>
      </c>
      <c r="I2" s="242">
        <f>'Previsione Spese'!$F$4</f>
        <v>4188030.7800000003</v>
      </c>
      <c r="J2" s="242">
        <f>'Previsione Spese'!$F$4</f>
        <v>4188030.7800000003</v>
      </c>
      <c r="K2" s="242">
        <f>'Previsione Spese'!$F$4</f>
        <v>4188030.7800000003</v>
      </c>
      <c r="L2" s="242">
        <f>'Previsione Spese'!$F$4</f>
        <v>4188030.7800000003</v>
      </c>
      <c r="M2" s="242">
        <f>'Previsione Spese'!$F$4</f>
        <v>4188030.7800000003</v>
      </c>
      <c r="N2" s="242">
        <f>'Previsione Spese'!$F$4</f>
        <v>4188030.7800000003</v>
      </c>
      <c r="O2" s="242">
        <f>'Previsione Spese'!$F$4</f>
        <v>4188030.7800000003</v>
      </c>
      <c r="P2" s="242">
        <f>'Previsione Spese'!$F$4</f>
        <v>4188030.7800000003</v>
      </c>
      <c r="Q2" s="246">
        <f>+'Previsione Spese'!P4</f>
        <v>4139540.3000000003</v>
      </c>
      <c r="R2" s="246">
        <f>+'Previsione Spese'!$Q$4</f>
        <v>4521219.9800000004</v>
      </c>
      <c r="S2" s="246">
        <f>+'Previsione Spese'!$Q$4</f>
        <v>4521219.9800000004</v>
      </c>
      <c r="T2" s="246">
        <f>+'Previsione Spese'!$Q$4</f>
        <v>4521219.9800000004</v>
      </c>
      <c r="U2" s="246">
        <f>+'Previsione Spese'!$Q$4</f>
        <v>4521219.9800000004</v>
      </c>
      <c r="V2" s="246">
        <f>+'Previsione Spese'!$Q$4</f>
        <v>4521219.9800000004</v>
      </c>
    </row>
    <row r="3" spans="1:22">
      <c r="A3" s="157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7"/>
      <c r="R3" s="247"/>
      <c r="S3" s="247"/>
      <c r="T3" s="247"/>
      <c r="U3" s="247"/>
      <c r="V3" s="247"/>
    </row>
    <row r="4" spans="1:22">
      <c r="A4" s="157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7"/>
      <c r="R4" s="247"/>
      <c r="S4" s="247"/>
      <c r="T4" s="247"/>
      <c r="U4" s="247"/>
      <c r="V4" s="247"/>
    </row>
    <row r="5" spans="1:22" ht="16.5" thickBot="1">
      <c r="A5" s="158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8"/>
      <c r="R5" s="248"/>
      <c r="S5" s="248"/>
      <c r="T5" s="248"/>
      <c r="U5" s="248"/>
      <c r="V5" s="248"/>
    </row>
    <row r="6" spans="1:22" ht="15.95" customHeight="1">
      <c r="A6" s="159" t="s">
        <v>132</v>
      </c>
      <c r="B6" s="159" t="s">
        <v>131</v>
      </c>
      <c r="C6" s="163">
        <f>C2-$B$2</f>
        <v>1450551.15</v>
      </c>
      <c r="D6" s="163">
        <f>D2-$B$2</f>
        <v>1998865.0900000003</v>
      </c>
      <c r="E6" s="163">
        <f>E2-$B$2</f>
        <v>1777956.7600000002</v>
      </c>
      <c r="F6" s="163">
        <f t="shared" ref="F6:V6" si="11">F2-$B$2</f>
        <v>2712209.56</v>
      </c>
      <c r="G6" s="163">
        <f t="shared" si="11"/>
        <v>1862209.56</v>
      </c>
      <c r="H6" s="163">
        <f t="shared" si="11"/>
        <v>1862209.56</v>
      </c>
      <c r="I6" s="163">
        <f t="shared" si="11"/>
        <v>1862209.56</v>
      </c>
      <c r="J6" s="163">
        <f t="shared" si="11"/>
        <v>1862209.56</v>
      </c>
      <c r="K6" s="163">
        <f t="shared" si="11"/>
        <v>1862209.56</v>
      </c>
      <c r="L6" s="163">
        <f t="shared" si="11"/>
        <v>1862209.56</v>
      </c>
      <c r="M6" s="163">
        <f t="shared" si="11"/>
        <v>1862209.56</v>
      </c>
      <c r="N6" s="163">
        <f t="shared" si="11"/>
        <v>1862209.56</v>
      </c>
      <c r="O6" s="163">
        <f t="shared" si="11"/>
        <v>1862209.56</v>
      </c>
      <c r="P6" s="163">
        <f t="shared" si="11"/>
        <v>1862209.56</v>
      </c>
      <c r="Q6" s="163">
        <f t="shared" si="11"/>
        <v>1813719.08</v>
      </c>
      <c r="R6" s="163">
        <f t="shared" si="11"/>
        <v>2195398.7600000002</v>
      </c>
      <c r="S6" s="163">
        <f t="shared" si="11"/>
        <v>2195398.7600000002</v>
      </c>
      <c r="T6" s="163">
        <f t="shared" si="11"/>
        <v>2195398.7600000002</v>
      </c>
      <c r="U6" s="163">
        <f t="shared" si="11"/>
        <v>2195398.7600000002</v>
      </c>
      <c r="V6" s="163">
        <f t="shared" si="11"/>
        <v>2195398.7600000002</v>
      </c>
    </row>
    <row r="7" spans="1:22" ht="29.1" customHeight="1" thickBot="1">
      <c r="A7" s="158"/>
      <c r="B7" s="158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</row>
    <row r="8" spans="1:22" s="66" customFormat="1" ht="18" customHeight="1">
      <c r="A8" s="159" t="s">
        <v>133</v>
      </c>
      <c r="B8" s="159" t="s">
        <v>131</v>
      </c>
      <c r="C8" s="244">
        <f>C6/$B$2</f>
        <v>0.62367267850449815</v>
      </c>
      <c r="D8" s="244">
        <f>D6/$B$2</f>
        <v>0.85942336100966532</v>
      </c>
      <c r="E8" s="244">
        <f t="shared" ref="E8:V8" si="12">E6/$B$2</f>
        <v>0.76444257396533688</v>
      </c>
      <c r="F8" s="244">
        <f t="shared" si="12"/>
        <v>1.1661298541252452</v>
      </c>
      <c r="G8" s="244">
        <f t="shared" si="12"/>
        <v>0.80066754227996939</v>
      </c>
      <c r="H8" s="244">
        <f t="shared" si="12"/>
        <v>0.80066754227996939</v>
      </c>
      <c r="I8" s="244">
        <f t="shared" si="12"/>
        <v>0.80066754227996939</v>
      </c>
      <c r="J8" s="244">
        <f t="shared" si="12"/>
        <v>0.80066754227996939</v>
      </c>
      <c r="K8" s="244">
        <f t="shared" si="12"/>
        <v>0.80066754227996939</v>
      </c>
      <c r="L8" s="244">
        <f t="shared" si="12"/>
        <v>0.80066754227996939</v>
      </c>
      <c r="M8" s="244">
        <f t="shared" si="12"/>
        <v>0.80066754227996939</v>
      </c>
      <c r="N8" s="244">
        <f t="shared" si="12"/>
        <v>0.80066754227996939</v>
      </c>
      <c r="O8" s="244">
        <f t="shared" si="12"/>
        <v>0.80066754227996939</v>
      </c>
      <c r="P8" s="244">
        <f t="shared" si="12"/>
        <v>0.80066754227996939</v>
      </c>
      <c r="Q8" s="244">
        <f t="shared" si="12"/>
        <v>0.77981878589963161</v>
      </c>
      <c r="R8" s="244">
        <f t="shared" si="12"/>
        <v>0.94392412500217882</v>
      </c>
      <c r="S8" s="244">
        <f t="shared" si="12"/>
        <v>0.94392412500217882</v>
      </c>
      <c r="T8" s="244">
        <f t="shared" si="12"/>
        <v>0.94392412500217882</v>
      </c>
      <c r="U8" s="244">
        <f t="shared" si="12"/>
        <v>0.94392412500217882</v>
      </c>
      <c r="V8" s="244">
        <f t="shared" si="12"/>
        <v>0.94392412500217882</v>
      </c>
    </row>
    <row r="9" spans="1:22" s="66" customFormat="1" ht="24.95" customHeight="1" thickBot="1">
      <c r="A9" s="158"/>
      <c r="B9" s="158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</row>
    <row r="11" spans="1:22" ht="16.5" thickBot="1"/>
    <row r="12" spans="1:22" ht="32.25" thickBot="1">
      <c r="A12" s="85" t="s">
        <v>196</v>
      </c>
      <c r="B12" s="86">
        <v>2024</v>
      </c>
      <c r="C12" s="86">
        <v>2024</v>
      </c>
      <c r="D12" s="86">
        <f t="shared" ref="D12:L12" si="13">C12+1</f>
        <v>2025</v>
      </c>
      <c r="E12" s="86">
        <f t="shared" si="13"/>
        <v>2026</v>
      </c>
      <c r="F12" s="86">
        <f t="shared" si="13"/>
        <v>2027</v>
      </c>
      <c r="G12" s="86">
        <f t="shared" si="13"/>
        <v>2028</v>
      </c>
      <c r="H12" s="86">
        <f t="shared" si="13"/>
        <v>2029</v>
      </c>
      <c r="I12" s="86">
        <f t="shared" si="13"/>
        <v>2030</v>
      </c>
      <c r="J12" s="86">
        <f t="shared" si="13"/>
        <v>2031</v>
      </c>
      <c r="K12" s="86">
        <f t="shared" si="13"/>
        <v>2032</v>
      </c>
      <c r="L12" s="86">
        <f t="shared" si="13"/>
        <v>2033</v>
      </c>
      <c r="M12" s="86">
        <f t="shared" ref="M12" si="14">L12+1</f>
        <v>2034</v>
      </c>
      <c r="N12" s="86">
        <f t="shared" ref="N12" si="15">M12+1</f>
        <v>2035</v>
      </c>
      <c r="O12" s="86">
        <f t="shared" ref="O12" si="16">N12+1</f>
        <v>2036</v>
      </c>
      <c r="P12" s="86">
        <f t="shared" ref="P12" si="17">O12+1</f>
        <v>2037</v>
      </c>
      <c r="Q12" s="86">
        <f t="shared" ref="Q12" si="18">P12+1</f>
        <v>2038</v>
      </c>
      <c r="R12" s="86">
        <f t="shared" ref="R12" si="19">Q12+1</f>
        <v>2039</v>
      </c>
      <c r="S12" s="86">
        <f t="shared" ref="S12" si="20">R12+1</f>
        <v>2040</v>
      </c>
      <c r="T12" s="86">
        <f t="shared" ref="T12" si="21">S12+1</f>
        <v>2041</v>
      </c>
      <c r="U12" s="86">
        <f t="shared" ref="U12" si="22">T12+1</f>
        <v>2042</v>
      </c>
      <c r="V12" s="86">
        <f t="shared" ref="V12" si="23">U12+1</f>
        <v>2043</v>
      </c>
    </row>
    <row r="13" spans="1:22">
      <c r="A13" s="157" t="s">
        <v>134</v>
      </c>
      <c r="B13" s="242">
        <f>+B2</f>
        <v>2325821.2200000002</v>
      </c>
      <c r="C13" s="242">
        <f>C2-'Rendiconto 2023'!E16+'Rendiconto 2023'!E17+'Rendiconto 2023'!E19</f>
        <v>2345091.13</v>
      </c>
      <c r="D13" s="242">
        <f>D2-'Previsione Spese'!C13</f>
        <v>2179886.4300000006</v>
      </c>
      <c r="E13" s="242">
        <f>E2-'Previsione Spese'!D13</f>
        <v>2255588.41</v>
      </c>
      <c r="F13" s="242">
        <f>F2-'Previsione Spese'!E13</f>
        <v>2255588.41</v>
      </c>
      <c r="G13" s="242">
        <f>G2-'Previsione Spese'!F13</f>
        <v>2255588.41</v>
      </c>
      <c r="H13" s="242">
        <v>2255588.41</v>
      </c>
      <c r="I13" s="242">
        <v>2255588.41</v>
      </c>
      <c r="J13" s="242">
        <v>2255588.41</v>
      </c>
      <c r="K13" s="242">
        <v>2255588.41</v>
      </c>
      <c r="L13" s="242">
        <v>2255588.41</v>
      </c>
      <c r="M13" s="242">
        <v>2255588.41</v>
      </c>
      <c r="N13" s="242">
        <v>2255588.41</v>
      </c>
      <c r="O13" s="242">
        <v>2255588.41</v>
      </c>
      <c r="P13" s="242">
        <v>2255588.41</v>
      </c>
      <c r="Q13" s="242">
        <f>Q2-'Previsione Spese'!P13</f>
        <v>2189468.41</v>
      </c>
      <c r="R13" s="242">
        <f>R2-'Previsione Spese'!Q13</f>
        <v>2189468.41</v>
      </c>
      <c r="S13" s="242">
        <v>2255588.41</v>
      </c>
      <c r="T13" s="242">
        <v>2255588.41</v>
      </c>
      <c r="U13" s="242">
        <v>2255588.41</v>
      </c>
      <c r="V13" s="242">
        <v>2255588.41</v>
      </c>
    </row>
    <row r="14" spans="1:22">
      <c r="A14" s="157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</row>
    <row r="15" spans="1:22">
      <c r="A15" s="157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</row>
    <row r="16" spans="1:22" ht="16.5" thickBot="1">
      <c r="A16" s="158"/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</row>
    <row r="17" spans="1:22" ht="17.100000000000001" customHeight="1">
      <c r="A17" s="159" t="s">
        <v>132</v>
      </c>
      <c r="B17" s="159" t="s">
        <v>131</v>
      </c>
      <c r="C17" s="163">
        <f>C13-$B$13</f>
        <v>19269.909999999683</v>
      </c>
      <c r="D17" s="163">
        <f>D13-$B$13</f>
        <v>-145934.78999999957</v>
      </c>
      <c r="E17" s="163">
        <f t="shared" ref="E17:V17" si="24">E13-$B$13</f>
        <v>-70232.810000000056</v>
      </c>
      <c r="F17" s="163">
        <f t="shared" si="24"/>
        <v>-70232.810000000056</v>
      </c>
      <c r="G17" s="163">
        <f t="shared" si="24"/>
        <v>-70232.810000000056</v>
      </c>
      <c r="H17" s="163">
        <f t="shared" si="24"/>
        <v>-70232.810000000056</v>
      </c>
      <c r="I17" s="163">
        <f t="shared" si="24"/>
        <v>-70232.810000000056</v>
      </c>
      <c r="J17" s="163">
        <f t="shared" si="24"/>
        <v>-70232.810000000056</v>
      </c>
      <c r="K17" s="163">
        <f t="shared" si="24"/>
        <v>-70232.810000000056</v>
      </c>
      <c r="L17" s="163">
        <f t="shared" si="24"/>
        <v>-70232.810000000056</v>
      </c>
      <c r="M17" s="163">
        <f t="shared" si="24"/>
        <v>-70232.810000000056</v>
      </c>
      <c r="N17" s="163">
        <f t="shared" si="24"/>
        <v>-70232.810000000056</v>
      </c>
      <c r="O17" s="163">
        <f t="shared" si="24"/>
        <v>-70232.810000000056</v>
      </c>
      <c r="P17" s="163">
        <f t="shared" si="24"/>
        <v>-70232.810000000056</v>
      </c>
      <c r="Q17" s="163">
        <f t="shared" si="24"/>
        <v>-136352.81000000006</v>
      </c>
      <c r="R17" s="163">
        <f t="shared" si="24"/>
        <v>-136352.81000000006</v>
      </c>
      <c r="S17" s="163">
        <f t="shared" si="24"/>
        <v>-70232.810000000056</v>
      </c>
      <c r="T17" s="163">
        <f t="shared" si="24"/>
        <v>-70232.810000000056</v>
      </c>
      <c r="U17" s="163">
        <f t="shared" si="24"/>
        <v>-70232.810000000056</v>
      </c>
      <c r="V17" s="163">
        <f t="shared" si="24"/>
        <v>-70232.810000000056</v>
      </c>
    </row>
    <row r="18" spans="1:22" ht="20.100000000000001" customHeight="1" thickBot="1">
      <c r="A18" s="158"/>
      <c r="B18" s="158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</row>
    <row r="19" spans="1:22" ht="15.95" customHeight="1">
      <c r="A19" s="159" t="s">
        <v>133</v>
      </c>
      <c r="B19" s="159" t="s">
        <v>131</v>
      </c>
      <c r="C19" s="240">
        <f>C17/$B$13</f>
        <v>8.2852068913532757E-3</v>
      </c>
      <c r="D19" s="240">
        <f>D17/$B$13</f>
        <v>-6.274548909653492E-2</v>
      </c>
      <c r="E19" s="240">
        <f t="shared" ref="E19:V19" si="25">E17/$B$13</f>
        <v>-3.0196994247047092E-2</v>
      </c>
      <c r="F19" s="240">
        <f t="shared" si="25"/>
        <v>-3.0196994247047092E-2</v>
      </c>
      <c r="G19" s="240">
        <f t="shared" si="25"/>
        <v>-3.0196994247047092E-2</v>
      </c>
      <c r="H19" s="240">
        <f t="shared" si="25"/>
        <v>-3.0196994247047092E-2</v>
      </c>
      <c r="I19" s="240">
        <f t="shared" si="25"/>
        <v>-3.0196994247047092E-2</v>
      </c>
      <c r="J19" s="240">
        <f t="shared" si="25"/>
        <v>-3.0196994247047092E-2</v>
      </c>
      <c r="K19" s="240">
        <f t="shared" si="25"/>
        <v>-3.0196994247047092E-2</v>
      </c>
      <c r="L19" s="240">
        <f t="shared" si="25"/>
        <v>-3.0196994247047092E-2</v>
      </c>
      <c r="M19" s="240">
        <f t="shared" si="25"/>
        <v>-3.0196994247047092E-2</v>
      </c>
      <c r="N19" s="240">
        <f t="shared" si="25"/>
        <v>-3.0196994247047092E-2</v>
      </c>
      <c r="O19" s="240">
        <f t="shared" si="25"/>
        <v>-3.0196994247047092E-2</v>
      </c>
      <c r="P19" s="240">
        <f t="shared" si="25"/>
        <v>-3.0196994247047092E-2</v>
      </c>
      <c r="Q19" s="240">
        <f t="shared" si="25"/>
        <v>-5.8625662551999608E-2</v>
      </c>
      <c r="R19" s="240">
        <f t="shared" si="25"/>
        <v>-5.8625662551999608E-2</v>
      </c>
      <c r="S19" s="240">
        <f t="shared" si="25"/>
        <v>-3.0196994247047092E-2</v>
      </c>
      <c r="T19" s="240">
        <f t="shared" si="25"/>
        <v>-3.0196994247047092E-2</v>
      </c>
      <c r="U19" s="240">
        <f t="shared" si="25"/>
        <v>-3.0196994247047092E-2</v>
      </c>
      <c r="V19" s="240">
        <f t="shared" si="25"/>
        <v>-3.0196994247047092E-2</v>
      </c>
    </row>
    <row r="20" spans="1:22" ht="16.5" thickBot="1">
      <c r="A20" s="158"/>
      <c r="B20" s="158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</row>
    <row r="23" spans="1:22">
      <c r="D23" s="68">
        <f>D13-B13</f>
        <v>-145934.78999999957</v>
      </c>
      <c r="E23" s="68">
        <f>E13-B13</f>
        <v>-70232.810000000056</v>
      </c>
    </row>
    <row r="24" spans="1:22">
      <c r="E24" s="68"/>
    </row>
  </sheetData>
  <mergeCells count="132">
    <mergeCell ref="L19:L20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G19:G20"/>
    <mergeCell ref="H19:H20"/>
    <mergeCell ref="I19:I20"/>
    <mergeCell ref="J19:J20"/>
    <mergeCell ref="K19:K20"/>
    <mergeCell ref="A19:A20"/>
    <mergeCell ref="C19:C20"/>
    <mergeCell ref="D19:D20"/>
    <mergeCell ref="E19:E20"/>
    <mergeCell ref="F19:F20"/>
    <mergeCell ref="B17:B18"/>
    <mergeCell ref="B19:B20"/>
    <mergeCell ref="L13:L16"/>
    <mergeCell ref="A8:A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G13:G16"/>
    <mergeCell ref="H13:H16"/>
    <mergeCell ref="I13:I16"/>
    <mergeCell ref="J13:J16"/>
    <mergeCell ref="K13:K16"/>
    <mergeCell ref="A13:A16"/>
    <mergeCell ref="C13:C16"/>
    <mergeCell ref="D13:D16"/>
    <mergeCell ref="E13:E16"/>
    <mergeCell ref="F13:F16"/>
    <mergeCell ref="B8:B9"/>
    <mergeCell ref="B13:B16"/>
    <mergeCell ref="L6:L7"/>
    <mergeCell ref="A2:A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G6:G7"/>
    <mergeCell ref="H6:H7"/>
    <mergeCell ref="I6:I7"/>
    <mergeCell ref="J6:J7"/>
    <mergeCell ref="K6:K7"/>
    <mergeCell ref="A6:A7"/>
    <mergeCell ref="C6:C7"/>
    <mergeCell ref="D6:D7"/>
    <mergeCell ref="E6:E7"/>
    <mergeCell ref="F6:F7"/>
    <mergeCell ref="B2:B5"/>
    <mergeCell ref="B6:B7"/>
    <mergeCell ref="R2:R5"/>
    <mergeCell ref="S2:S5"/>
    <mergeCell ref="T2:T5"/>
    <mergeCell ref="U2:U5"/>
    <mergeCell ref="V2:V5"/>
    <mergeCell ref="M2:M5"/>
    <mergeCell ref="N2:N5"/>
    <mergeCell ref="O2:O5"/>
    <mergeCell ref="P2:P5"/>
    <mergeCell ref="Q2:Q5"/>
    <mergeCell ref="R6:R7"/>
    <mergeCell ref="S6:S7"/>
    <mergeCell ref="T6:T7"/>
    <mergeCell ref="U6:U7"/>
    <mergeCell ref="V6:V7"/>
    <mergeCell ref="M6:M7"/>
    <mergeCell ref="N6:N7"/>
    <mergeCell ref="O6:O7"/>
    <mergeCell ref="P6:P7"/>
    <mergeCell ref="Q6:Q7"/>
    <mergeCell ref="R8:R9"/>
    <mergeCell ref="S8:S9"/>
    <mergeCell ref="T8:T9"/>
    <mergeCell ref="U8:U9"/>
    <mergeCell ref="V8:V9"/>
    <mergeCell ref="M8:M9"/>
    <mergeCell ref="N8:N9"/>
    <mergeCell ref="O8:O9"/>
    <mergeCell ref="P8:P9"/>
    <mergeCell ref="Q8:Q9"/>
    <mergeCell ref="R13:R16"/>
    <mergeCell ref="S13:S16"/>
    <mergeCell ref="T13:T16"/>
    <mergeCell ref="U13:U16"/>
    <mergeCell ref="V13:V16"/>
    <mergeCell ref="M13:M16"/>
    <mergeCell ref="N13:N16"/>
    <mergeCell ref="O13:O16"/>
    <mergeCell ref="P13:P16"/>
    <mergeCell ref="Q13:Q16"/>
    <mergeCell ref="R17:R18"/>
    <mergeCell ref="S17:S18"/>
    <mergeCell ref="T17:T18"/>
    <mergeCell ref="U17:U18"/>
    <mergeCell ref="V17:V18"/>
    <mergeCell ref="M17:M18"/>
    <mergeCell ref="N17:N18"/>
    <mergeCell ref="O17:O18"/>
    <mergeCell ref="P17:P18"/>
    <mergeCell ref="Q17:Q18"/>
    <mergeCell ref="R19:R20"/>
    <mergeCell ref="S19:S20"/>
    <mergeCell ref="T19:T20"/>
    <mergeCell ref="U19:U20"/>
    <mergeCell ref="V19:V20"/>
    <mergeCell ref="M19:M20"/>
    <mergeCell ref="N19:N20"/>
    <mergeCell ref="O19:O20"/>
    <mergeCell ref="P19:P20"/>
    <mergeCell ref="Q19:Q20"/>
  </mergeCells>
  <pageMargins left="0.7" right="0.7" top="0.75" bottom="0.75" header="0.3" footer="0.3"/>
  <pageSetup paperSize="9" scale="48" orientation="landscape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3"/>
  <sheetViews>
    <sheetView workbookViewId="0">
      <selection activeCell="I34" sqref="I34"/>
    </sheetView>
  </sheetViews>
  <sheetFormatPr defaultColWidth="11" defaultRowHeight="15.75"/>
  <cols>
    <col min="1" max="1" width="51.375" customWidth="1"/>
    <col min="2" max="6" width="14.625" bestFit="1" customWidth="1"/>
    <col min="7" max="7" width="14.875" bestFit="1" customWidth="1"/>
    <col min="8" max="8" width="15.625" customWidth="1"/>
    <col min="9" max="9" width="13.375" customWidth="1"/>
  </cols>
  <sheetData>
    <row r="1" spans="1:9" ht="31.5">
      <c r="A1" s="87" t="s">
        <v>135</v>
      </c>
      <c r="B1" s="88" t="s">
        <v>198</v>
      </c>
      <c r="C1" s="88">
        <v>2024</v>
      </c>
      <c r="D1" s="88">
        <f t="shared" ref="D1:G1" si="0">C1+1</f>
        <v>2025</v>
      </c>
      <c r="E1" s="88">
        <f t="shared" si="0"/>
        <v>2026</v>
      </c>
      <c r="F1" s="88">
        <f t="shared" si="0"/>
        <v>2027</v>
      </c>
      <c r="G1" s="88">
        <f t="shared" si="0"/>
        <v>2028</v>
      </c>
      <c r="H1" s="88" t="s">
        <v>178</v>
      </c>
      <c r="I1" s="88" t="s">
        <v>179</v>
      </c>
    </row>
    <row r="2" spans="1:9">
      <c r="A2" s="89" t="s">
        <v>136</v>
      </c>
      <c r="B2" s="121">
        <v>1365024.01</v>
      </c>
      <c r="C2" s="121">
        <f>'Previsione Spese'!B8</f>
        <v>1495960.15</v>
      </c>
      <c r="D2" s="121">
        <f>'Previsione Spese'!C8</f>
        <v>1383173.25</v>
      </c>
      <c r="E2" s="121">
        <f>'Previsione Spese'!D8</f>
        <v>1375173.65</v>
      </c>
      <c r="F2" s="121">
        <f>'Previsione Spese'!E8</f>
        <v>1375173.65</v>
      </c>
      <c r="G2" s="121">
        <f>'Previsione Spese'!F8</f>
        <v>1375173.65</v>
      </c>
      <c r="H2" s="122">
        <f>G2-B2</f>
        <v>10149.639999999898</v>
      </c>
      <c r="I2" s="90"/>
    </row>
    <row r="3" spans="1:9">
      <c r="A3" s="91" t="s">
        <v>137</v>
      </c>
      <c r="B3" s="92"/>
      <c r="C3" s="92"/>
      <c r="D3" s="92"/>
      <c r="E3" s="92"/>
      <c r="F3" s="93"/>
      <c r="G3" s="93"/>
      <c r="H3" s="93"/>
      <c r="I3" s="94"/>
    </row>
    <row r="4" spans="1:9">
      <c r="A4" s="95" t="s">
        <v>138</v>
      </c>
      <c r="B4" s="121">
        <v>409413.95</v>
      </c>
      <c r="C4" s="121">
        <v>420282.89</v>
      </c>
      <c r="D4" s="121">
        <v>420282.89</v>
      </c>
      <c r="E4" s="121">
        <v>420282.89</v>
      </c>
      <c r="F4" s="121">
        <v>420282.89</v>
      </c>
      <c r="G4" s="121">
        <v>420282.89</v>
      </c>
      <c r="H4" s="93"/>
      <c r="I4" s="94"/>
    </row>
    <row r="5" spans="1:9">
      <c r="A5" s="95" t="s">
        <v>139</v>
      </c>
      <c r="B5" s="121">
        <v>439999.13</v>
      </c>
      <c r="C5" s="121">
        <v>463747.66</v>
      </c>
      <c r="D5" s="121">
        <v>463747.66</v>
      </c>
      <c r="E5" s="121">
        <v>463747.66</v>
      </c>
      <c r="F5" s="121">
        <v>463747.66</v>
      </c>
      <c r="G5" s="121">
        <v>463747.66</v>
      </c>
      <c r="H5" s="93"/>
      <c r="I5" s="94"/>
    </row>
    <row r="6" spans="1:9">
      <c r="A6" s="95" t="s">
        <v>140</v>
      </c>
      <c r="B6" s="96">
        <f>164595.18+60938.76</f>
        <v>225533.94</v>
      </c>
      <c r="C6" s="96">
        <f t="shared" ref="C6:G6" si="1">164595.18+60938.76</f>
        <v>225533.94</v>
      </c>
      <c r="D6" s="96">
        <f t="shared" si="1"/>
        <v>225533.94</v>
      </c>
      <c r="E6" s="96">
        <f t="shared" si="1"/>
        <v>225533.94</v>
      </c>
      <c r="F6" s="96">
        <f t="shared" si="1"/>
        <v>225533.94</v>
      </c>
      <c r="G6" s="96">
        <f t="shared" si="1"/>
        <v>225533.94</v>
      </c>
      <c r="H6" s="93"/>
      <c r="I6" s="94"/>
    </row>
    <row r="7" spans="1:9">
      <c r="A7" s="95" t="s">
        <v>141</v>
      </c>
      <c r="B7" s="96">
        <f>4391.02+23004.6+10339.02</f>
        <v>37734.639999999999</v>
      </c>
      <c r="C7" s="96">
        <f>4391.02+23004.6+10339.02+5000</f>
        <v>42734.64</v>
      </c>
      <c r="D7" s="96">
        <f>4391.02+23004.6+10339.02+5000</f>
        <v>42734.64</v>
      </c>
      <c r="E7" s="96">
        <f>4391.02+23004.6+10339.02+5000</f>
        <v>42734.64</v>
      </c>
      <c r="F7" s="96">
        <f>4391.02+23004.6+10339.02+5000</f>
        <v>42734.64</v>
      </c>
      <c r="G7" s="96">
        <f>4391.02+23004.6+10339.02+5000</f>
        <v>42734.64</v>
      </c>
      <c r="H7" s="93"/>
      <c r="I7" s="94"/>
    </row>
    <row r="8" spans="1:9">
      <c r="A8" s="89" t="s">
        <v>142</v>
      </c>
      <c r="B8" s="97">
        <f t="shared" ref="B8:G8" si="2">B2-(B4+B5+B6+B7)</f>
        <v>252342.35000000009</v>
      </c>
      <c r="C8" s="97">
        <f t="shared" si="2"/>
        <v>343661.02</v>
      </c>
      <c r="D8" s="97">
        <f t="shared" si="2"/>
        <v>230874.12000000011</v>
      </c>
      <c r="E8" s="97">
        <f t="shared" si="2"/>
        <v>222874.52000000002</v>
      </c>
      <c r="F8" s="97">
        <f t="shared" si="2"/>
        <v>222874.52000000002</v>
      </c>
      <c r="G8" s="97">
        <f t="shared" si="2"/>
        <v>222874.52000000002</v>
      </c>
      <c r="H8" s="98">
        <f>G8-B8</f>
        <v>-29467.830000000075</v>
      </c>
      <c r="I8" s="90">
        <f>H8/B8</f>
        <v>-0.1167771878164726</v>
      </c>
    </row>
    <row r="9" spans="1:9">
      <c r="A9" s="99"/>
      <c r="B9" s="99"/>
      <c r="C9" s="99"/>
      <c r="D9" s="99"/>
      <c r="E9" s="99"/>
      <c r="F9" s="99"/>
      <c r="G9" s="99"/>
      <c r="H9" s="99"/>
      <c r="I9" s="99"/>
    </row>
    <row r="10" spans="1:9">
      <c r="A10" s="99"/>
      <c r="B10" s="99"/>
      <c r="C10" s="99"/>
      <c r="D10" s="99"/>
      <c r="E10" s="99"/>
      <c r="F10" s="99"/>
      <c r="G10" s="99"/>
      <c r="H10" s="99"/>
      <c r="I10" s="99"/>
    </row>
    <row r="11" spans="1:9" ht="31.5">
      <c r="A11" s="87" t="s">
        <v>135</v>
      </c>
      <c r="B11" s="88" t="s">
        <v>198</v>
      </c>
      <c r="C11" s="88">
        <v>2024</v>
      </c>
      <c r="D11" s="88">
        <f t="shared" ref="D11:G11" si="3">C11+1</f>
        <v>2025</v>
      </c>
      <c r="E11" s="88">
        <f t="shared" si="3"/>
        <v>2026</v>
      </c>
      <c r="F11" s="88">
        <f t="shared" si="3"/>
        <v>2027</v>
      </c>
      <c r="G11" s="88">
        <f t="shared" si="3"/>
        <v>2028</v>
      </c>
      <c r="H11" s="88" t="s">
        <v>178</v>
      </c>
      <c r="I11" s="88" t="s">
        <v>179</v>
      </c>
    </row>
    <row r="12" spans="1:9">
      <c r="A12" s="89" t="s">
        <v>143</v>
      </c>
      <c r="B12" s="123">
        <v>81979.14</v>
      </c>
      <c r="C12" s="124">
        <f>'Previsione Spese'!B9</f>
        <v>65521.62</v>
      </c>
      <c r="D12" s="124">
        <f>'Previsione Spese'!C9</f>
        <v>65521.62</v>
      </c>
      <c r="E12" s="124">
        <f>'Previsione Spese'!D9</f>
        <v>131641.62</v>
      </c>
      <c r="F12" s="124">
        <v>131641.62</v>
      </c>
      <c r="G12" s="124">
        <v>131641.62</v>
      </c>
      <c r="H12" s="100">
        <f>G12-B12</f>
        <v>49662.479999999996</v>
      </c>
      <c r="I12" s="94"/>
    </row>
    <row r="13" spans="1:9">
      <c r="A13" s="91" t="s">
        <v>137</v>
      </c>
      <c r="B13" s="101"/>
      <c r="C13" s="93"/>
      <c r="D13" s="93"/>
      <c r="E13" s="93"/>
      <c r="F13" s="93"/>
      <c r="G13" s="93"/>
      <c r="H13" s="102"/>
      <c r="I13" s="94"/>
    </row>
    <row r="14" spans="1:9">
      <c r="A14" s="95" t="s">
        <v>144</v>
      </c>
      <c r="B14" s="101"/>
      <c r="C14" s="93"/>
      <c r="D14" s="93"/>
      <c r="E14" s="93"/>
      <c r="F14" s="93"/>
      <c r="G14" s="93"/>
      <c r="H14" s="102"/>
      <c r="I14" s="94"/>
    </row>
    <row r="15" spans="1:9">
      <c r="A15" s="95" t="s">
        <v>197</v>
      </c>
      <c r="B15" s="101"/>
      <c r="C15" s="93"/>
      <c r="D15" s="93"/>
      <c r="E15" s="93">
        <v>66120</v>
      </c>
      <c r="F15" s="93">
        <v>66120</v>
      </c>
      <c r="G15" s="93">
        <v>66120</v>
      </c>
      <c r="H15" s="102"/>
      <c r="I15" s="94"/>
    </row>
    <row r="16" spans="1:9">
      <c r="A16" s="95" t="s">
        <v>145</v>
      </c>
      <c r="B16" s="101">
        <f>7584.46+13000</f>
        <v>20584.46</v>
      </c>
      <c r="C16" s="101">
        <f>7584.46+13000</f>
        <v>20584.46</v>
      </c>
      <c r="D16" s="101">
        <f t="shared" ref="D16:G16" si="4">7584.46+13000</f>
        <v>20584.46</v>
      </c>
      <c r="E16" s="101">
        <f t="shared" si="4"/>
        <v>20584.46</v>
      </c>
      <c r="F16" s="101">
        <f t="shared" si="4"/>
        <v>20584.46</v>
      </c>
      <c r="G16" s="101">
        <f t="shared" si="4"/>
        <v>20584.46</v>
      </c>
      <c r="H16" s="102"/>
      <c r="I16" s="94"/>
    </row>
    <row r="17" spans="1:9">
      <c r="A17" s="89" t="s">
        <v>142</v>
      </c>
      <c r="B17" s="102">
        <f>B12-(B14+B16)</f>
        <v>61394.68</v>
      </c>
      <c r="C17" s="102">
        <f t="shared" ref="C17" si="5">C12-(C14+C16)</f>
        <v>44937.16</v>
      </c>
      <c r="D17" s="102">
        <f>D12-(D14+D15+D16)</f>
        <v>44937.16</v>
      </c>
      <c r="E17" s="102">
        <f t="shared" ref="E17:G17" si="6">E12-(E14+E15+E16)</f>
        <v>44937.16</v>
      </c>
      <c r="F17" s="102">
        <f t="shared" si="6"/>
        <v>44937.16</v>
      </c>
      <c r="G17" s="102">
        <f t="shared" si="6"/>
        <v>44937.16</v>
      </c>
      <c r="H17" s="102">
        <f>G17-B17</f>
        <v>-16457.519999999997</v>
      </c>
      <c r="I17" s="94">
        <f t="shared" ref="I17" si="7">(H17/B17)</f>
        <v>-0.26806101114950021</v>
      </c>
    </row>
    <row r="20" spans="1:9">
      <c r="A20" s="76" t="s">
        <v>146</v>
      </c>
      <c r="B20" s="59">
        <f>B8*0.1</f>
        <v>25234.235000000011</v>
      </c>
    </row>
    <row r="21" spans="1:9">
      <c r="A21" s="76" t="s">
        <v>147</v>
      </c>
      <c r="B21" s="59">
        <f>B17*0.25</f>
        <v>15348.67</v>
      </c>
    </row>
    <row r="22" spans="1:9" ht="16.5" thickBot="1">
      <c r="A22" s="103" t="s">
        <v>148</v>
      </c>
      <c r="B22" s="104">
        <f>SUM(B20:B21)</f>
        <v>40582.905000000013</v>
      </c>
    </row>
    <row r="23" spans="1:9" ht="16.5" thickBot="1">
      <c r="A23" s="105" t="s">
        <v>149</v>
      </c>
      <c r="B23" s="106">
        <f>-H8-H17</f>
        <v>45925.350000000071</v>
      </c>
    </row>
  </sheetData>
  <pageMargins left="0.7" right="0.7" top="0.75" bottom="0.75" header="0.3" footer="0.3"/>
  <pageSetup paperSize="9" orientation="landscape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"/>
  <sheetViews>
    <sheetView workbookViewId="0">
      <selection activeCell="A2" sqref="A2:L4"/>
    </sheetView>
  </sheetViews>
  <sheetFormatPr defaultColWidth="11.5" defaultRowHeight="12.75"/>
  <cols>
    <col min="1" max="1" width="25.125" style="79" customWidth="1"/>
    <col min="2" max="2" width="11.5" style="79" hidden="1" customWidth="1"/>
    <col min="3" max="3" width="0.375" style="79" customWidth="1"/>
    <col min="4" max="4" width="13.625" style="79" customWidth="1"/>
    <col min="5" max="5" width="7.875" style="79" customWidth="1"/>
    <col min="6" max="6" width="9.125" style="79" customWidth="1"/>
    <col min="7" max="7" width="11.5" style="79"/>
    <col min="8" max="8" width="12.875" style="79" customWidth="1"/>
    <col min="9" max="9" width="21.875" style="79" customWidth="1"/>
    <col min="10" max="10" width="3.5" style="79" customWidth="1"/>
    <col min="11" max="11" width="19.875" style="79" customWidth="1"/>
    <col min="12" max="12" width="1.625" style="79" customWidth="1"/>
    <col min="13" max="16384" width="11.5" style="79"/>
  </cols>
  <sheetData>
    <row r="1" spans="1:12" ht="18.75">
      <c r="A1" s="77" t="s">
        <v>121</v>
      </c>
      <c r="B1" s="78"/>
      <c r="C1" s="78"/>
      <c r="D1" s="78"/>
      <c r="E1" s="251"/>
      <c r="F1" s="251"/>
      <c r="G1" s="251"/>
      <c r="H1" s="251"/>
      <c r="I1" s="251"/>
      <c r="J1" s="78"/>
      <c r="K1" s="78"/>
      <c r="L1" s="78"/>
    </row>
    <row r="2" spans="1:12" ht="39" customHeight="1">
      <c r="A2" s="252" t="s">
        <v>180</v>
      </c>
      <c r="B2" s="253"/>
      <c r="C2" s="253"/>
      <c r="D2" s="253"/>
      <c r="E2" s="253"/>
      <c r="F2" s="254"/>
      <c r="G2" s="255" t="s">
        <v>118</v>
      </c>
      <c r="H2" s="255"/>
      <c r="I2" s="255" t="s">
        <v>119</v>
      </c>
      <c r="J2" s="255"/>
      <c r="K2" s="256" t="s">
        <v>120</v>
      </c>
      <c r="L2" s="256"/>
    </row>
    <row r="3" spans="1:12" ht="18.75">
      <c r="A3" s="256" t="s">
        <v>121</v>
      </c>
      <c r="B3" s="80"/>
      <c r="C3" s="80"/>
      <c r="D3" s="257" t="s">
        <v>122</v>
      </c>
      <c r="E3" s="257"/>
      <c r="F3" s="257"/>
      <c r="G3" s="258">
        <v>10800</v>
      </c>
      <c r="H3" s="258"/>
      <c r="I3" s="258">
        <v>27000</v>
      </c>
      <c r="J3" s="258"/>
      <c r="K3" s="259">
        <f t="shared" ref="K3" si="0">G3/I3</f>
        <v>0.4</v>
      </c>
      <c r="L3" s="260"/>
    </row>
    <row r="4" spans="1:12" ht="18.75">
      <c r="A4" s="256"/>
      <c r="B4" s="80"/>
      <c r="C4" s="80"/>
      <c r="D4" s="249" t="s">
        <v>123</v>
      </c>
      <c r="E4" s="249"/>
      <c r="F4" s="249"/>
      <c r="G4" s="249"/>
      <c r="H4" s="249"/>
      <c r="I4" s="249"/>
      <c r="J4" s="249"/>
      <c r="K4" s="250">
        <f>AVERAGE(K3:L3)</f>
        <v>0.4</v>
      </c>
      <c r="L4" s="249"/>
    </row>
    <row r="5" spans="1:12" ht="18.75">
      <c r="A5" s="80"/>
      <c r="B5" s="80"/>
      <c r="C5" s="80"/>
    </row>
  </sheetData>
  <mergeCells count="12">
    <mergeCell ref="D4:J4"/>
    <mergeCell ref="K4:L4"/>
    <mergeCell ref="E1:I1"/>
    <mergeCell ref="A2:F2"/>
    <mergeCell ref="G2:H2"/>
    <mergeCell ref="I2:J2"/>
    <mergeCell ref="K2:L2"/>
    <mergeCell ref="A3:A4"/>
    <mergeCell ref="D3:F3"/>
    <mergeCell ref="G3:H3"/>
    <mergeCell ref="I3:J3"/>
    <mergeCell ref="K3:L3"/>
  </mergeCells>
  <pageMargins left="0.25" right="0.25" top="0.53125" bottom="0.75" header="0.3" footer="0.3"/>
  <pageSetup paperSize="9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22"/>
  <sheetViews>
    <sheetView workbookViewId="0">
      <selection activeCell="S34" sqref="S34"/>
    </sheetView>
  </sheetViews>
  <sheetFormatPr defaultColWidth="11" defaultRowHeight="15.75"/>
  <cols>
    <col min="1" max="1" width="29.875" customWidth="1"/>
    <col min="2" max="2" width="12.625" bestFit="1" customWidth="1"/>
    <col min="3" max="3" width="13.875" bestFit="1" customWidth="1"/>
    <col min="4" max="4" width="12.875" bestFit="1" customWidth="1"/>
    <col min="5" max="5" width="15.5" bestFit="1" customWidth="1"/>
    <col min="7" max="7" width="13.875" bestFit="1" customWidth="1"/>
  </cols>
  <sheetData>
    <row r="1" spans="1:8" ht="15.95" customHeight="1">
      <c r="A1" s="272"/>
      <c r="B1" s="267">
        <v>2023</v>
      </c>
      <c r="C1" s="267">
        <v>2024</v>
      </c>
      <c r="D1" s="267" t="s">
        <v>150</v>
      </c>
      <c r="E1" s="267">
        <v>2025</v>
      </c>
      <c r="F1" s="267" t="s">
        <v>150</v>
      </c>
      <c r="G1" s="267">
        <v>2026</v>
      </c>
      <c r="H1" s="269" t="s">
        <v>150</v>
      </c>
    </row>
    <row r="2" spans="1:8" ht="16.5" thickBot="1">
      <c r="A2" s="273"/>
      <c r="B2" s="268"/>
      <c r="C2" s="268"/>
      <c r="D2" s="268"/>
      <c r="E2" s="268"/>
      <c r="F2" s="268"/>
      <c r="G2" s="268"/>
      <c r="H2" s="270"/>
    </row>
    <row r="3" spans="1:8">
      <c r="A3" s="183" t="s">
        <v>151</v>
      </c>
      <c r="B3" s="271">
        <v>0</v>
      </c>
      <c r="C3" s="271">
        <v>850</v>
      </c>
      <c r="D3" s="265">
        <v>1</v>
      </c>
      <c r="E3" s="271">
        <v>850</v>
      </c>
      <c r="F3" s="157" t="s">
        <v>131</v>
      </c>
      <c r="G3" s="271">
        <v>850</v>
      </c>
      <c r="H3" s="157" t="s">
        <v>131</v>
      </c>
    </row>
    <row r="4" spans="1:8" ht="16.5" thickBot="1">
      <c r="A4" s="184"/>
      <c r="B4" s="262"/>
      <c r="C4" s="262"/>
      <c r="D4" s="266"/>
      <c r="E4" s="262"/>
      <c r="F4" s="158"/>
      <c r="G4" s="262"/>
      <c r="H4" s="158"/>
    </row>
    <row r="5" spans="1:8">
      <c r="A5" s="185" t="s">
        <v>152</v>
      </c>
      <c r="B5" s="261"/>
      <c r="C5" s="261"/>
      <c r="D5" s="237"/>
      <c r="E5" s="261"/>
      <c r="F5" s="237"/>
      <c r="G5" s="261"/>
      <c r="H5" s="237"/>
    </row>
    <row r="6" spans="1:8" ht="16.5" thickBot="1">
      <c r="A6" s="184"/>
      <c r="B6" s="262"/>
      <c r="C6" s="262"/>
      <c r="D6" s="239"/>
      <c r="E6" s="262"/>
      <c r="F6" s="239"/>
      <c r="G6" s="262"/>
      <c r="H6" s="239"/>
    </row>
    <row r="7" spans="1:8">
      <c r="A7" s="185" t="s">
        <v>153</v>
      </c>
      <c r="B7" s="261"/>
      <c r="C7" s="261"/>
      <c r="D7" s="263"/>
      <c r="E7" s="261"/>
      <c r="F7" s="263"/>
      <c r="G7" s="261"/>
      <c r="H7" s="263"/>
    </row>
    <row r="8" spans="1:8" ht="16.5" thickBot="1">
      <c r="A8" s="184"/>
      <c r="B8" s="262"/>
      <c r="C8" s="262"/>
      <c r="D8" s="264"/>
      <c r="E8" s="262"/>
      <c r="F8" s="264"/>
      <c r="G8" s="262"/>
      <c r="H8" s="264"/>
    </row>
    <row r="9" spans="1:8">
      <c r="A9" s="185" t="s">
        <v>154</v>
      </c>
      <c r="B9" s="261"/>
      <c r="C9" s="261"/>
      <c r="D9" s="237"/>
      <c r="E9" s="261"/>
      <c r="F9" s="237"/>
      <c r="G9" s="261"/>
      <c r="H9" s="237"/>
    </row>
    <row r="10" spans="1:8" ht="16.5" thickBot="1">
      <c r="A10" s="184"/>
      <c r="B10" s="262"/>
      <c r="C10" s="262"/>
      <c r="D10" s="239"/>
      <c r="E10" s="262"/>
      <c r="F10" s="239"/>
      <c r="G10" s="262"/>
      <c r="H10" s="239"/>
    </row>
    <row r="11" spans="1:8">
      <c r="A11" s="185" t="s">
        <v>155</v>
      </c>
      <c r="B11" s="261">
        <v>25812.13</v>
      </c>
      <c r="C11" s="261">
        <v>33121.440000000002</v>
      </c>
      <c r="D11" s="265">
        <f>(C11-B11)/B11</f>
        <v>0.28317345372117686</v>
      </c>
      <c r="E11" s="261">
        <v>33121.440000000002</v>
      </c>
      <c r="F11" s="159" t="s">
        <v>131</v>
      </c>
      <c r="G11" s="261">
        <v>33121.440000000002</v>
      </c>
      <c r="H11" s="159" t="s">
        <v>131</v>
      </c>
    </row>
    <row r="12" spans="1:8" ht="16.5" thickBot="1">
      <c r="A12" s="184"/>
      <c r="B12" s="262"/>
      <c r="C12" s="262"/>
      <c r="D12" s="266"/>
      <c r="E12" s="262"/>
      <c r="F12" s="158"/>
      <c r="G12" s="262"/>
      <c r="H12" s="158"/>
    </row>
    <row r="13" spans="1:8">
      <c r="A13" s="185" t="s">
        <v>156</v>
      </c>
      <c r="B13" s="261"/>
      <c r="C13" s="261"/>
      <c r="D13" s="237"/>
      <c r="E13" s="261"/>
      <c r="F13" s="237"/>
      <c r="G13" s="261"/>
      <c r="H13" s="237"/>
    </row>
    <row r="14" spans="1:8" ht="16.5" thickBot="1">
      <c r="A14" s="184"/>
      <c r="B14" s="262"/>
      <c r="C14" s="262"/>
      <c r="D14" s="239"/>
      <c r="E14" s="262"/>
      <c r="F14" s="239"/>
      <c r="G14" s="262"/>
      <c r="H14" s="239"/>
    </row>
    <row r="15" spans="1:8">
      <c r="A15" s="181" t="s">
        <v>200</v>
      </c>
      <c r="B15" s="261">
        <f>SUM(B3:B14)</f>
        <v>25812.13</v>
      </c>
      <c r="C15" s="261">
        <f>SUM(C3:C14)</f>
        <v>33971.440000000002</v>
      </c>
      <c r="D15" s="263"/>
      <c r="E15" s="261">
        <f>SUM(E3:E14)</f>
        <v>33971.440000000002</v>
      </c>
      <c r="F15" s="263"/>
      <c r="G15" s="261">
        <f>SUM(G3:G14)</f>
        <v>33971.440000000002</v>
      </c>
      <c r="H15" s="263"/>
    </row>
    <row r="16" spans="1:8" ht="16.5" thickBot="1">
      <c r="A16" s="182"/>
      <c r="B16" s="262"/>
      <c r="C16" s="262"/>
      <c r="D16" s="264"/>
      <c r="E16" s="262"/>
      <c r="F16" s="264"/>
      <c r="G16" s="262"/>
      <c r="H16" s="264"/>
    </row>
    <row r="18" spans="1:2">
      <c r="A18" t="s">
        <v>199</v>
      </c>
    </row>
    <row r="19" spans="1:2">
      <c r="A19" t="s">
        <v>201</v>
      </c>
    </row>
    <row r="22" spans="1:2">
      <c r="B22" s="134"/>
    </row>
  </sheetData>
  <mergeCells count="64">
    <mergeCell ref="G1:G2"/>
    <mergeCell ref="H1:H2"/>
    <mergeCell ref="A3:A4"/>
    <mergeCell ref="B3:B4"/>
    <mergeCell ref="C3:C4"/>
    <mergeCell ref="D3:D4"/>
    <mergeCell ref="E3:E4"/>
    <mergeCell ref="F3:F4"/>
    <mergeCell ref="G3:G4"/>
    <mergeCell ref="H3:H4"/>
    <mergeCell ref="A1:A2"/>
    <mergeCell ref="B1:B2"/>
    <mergeCell ref="C1:C2"/>
    <mergeCell ref="D1:D2"/>
    <mergeCell ref="E1:E2"/>
    <mergeCell ref="F1:F2"/>
    <mergeCell ref="G5:G6"/>
    <mergeCell ref="H5:H6"/>
    <mergeCell ref="A7:A8"/>
    <mergeCell ref="B7:B8"/>
    <mergeCell ref="C7:C8"/>
    <mergeCell ref="D7:D8"/>
    <mergeCell ref="E7:E8"/>
    <mergeCell ref="F7:F8"/>
    <mergeCell ref="G7:G8"/>
    <mergeCell ref="H7:H8"/>
    <mergeCell ref="A5:A6"/>
    <mergeCell ref="B5:B6"/>
    <mergeCell ref="C5:C6"/>
    <mergeCell ref="D5:D6"/>
    <mergeCell ref="E5:E6"/>
    <mergeCell ref="F5:F6"/>
    <mergeCell ref="G9:G10"/>
    <mergeCell ref="H9:H10"/>
    <mergeCell ref="A11:A12"/>
    <mergeCell ref="B11:B12"/>
    <mergeCell ref="C11:C12"/>
    <mergeCell ref="D11:D12"/>
    <mergeCell ref="E11:E12"/>
    <mergeCell ref="F11:F12"/>
    <mergeCell ref="G11:G12"/>
    <mergeCell ref="H11:H12"/>
    <mergeCell ref="A9:A10"/>
    <mergeCell ref="B9:B10"/>
    <mergeCell ref="C9:C10"/>
    <mergeCell ref="D9:D10"/>
    <mergeCell ref="E9:E10"/>
    <mergeCell ref="F9:F10"/>
    <mergeCell ref="G13:G14"/>
    <mergeCell ref="H13:H14"/>
    <mergeCell ref="A15:A16"/>
    <mergeCell ref="B15:B16"/>
    <mergeCell ref="C15:C16"/>
    <mergeCell ref="D15:D16"/>
    <mergeCell ref="E15:E16"/>
    <mergeCell ref="F15:F16"/>
    <mergeCell ref="G15:G16"/>
    <mergeCell ref="H15:H16"/>
    <mergeCell ref="A13:A14"/>
    <mergeCell ref="B13:B14"/>
    <mergeCell ref="C13:C14"/>
    <mergeCell ref="D13:D14"/>
    <mergeCell ref="E13:E14"/>
    <mergeCell ref="F13:F14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B11"/>
  <sheetViews>
    <sheetView tabSelected="1" workbookViewId="0">
      <selection activeCell="A7" sqref="A7"/>
    </sheetView>
  </sheetViews>
  <sheetFormatPr defaultColWidth="11" defaultRowHeight="15.75"/>
  <cols>
    <col min="1" max="1" width="42.625" bestFit="1" customWidth="1"/>
    <col min="2" max="2" width="18.875" customWidth="1"/>
  </cols>
  <sheetData>
    <row r="1" spans="1:2" s="135" customFormat="1">
      <c r="A1" s="136" t="s">
        <v>208</v>
      </c>
      <c r="B1" s="136"/>
    </row>
    <row r="2" spans="1:2">
      <c r="A2" s="76" t="s">
        <v>204</v>
      </c>
      <c r="B2" s="124">
        <v>1802961.41</v>
      </c>
    </row>
    <row r="3" spans="1:2">
      <c r="A3" s="76" t="s">
        <v>205</v>
      </c>
      <c r="B3" s="76">
        <v>105</v>
      </c>
    </row>
    <row r="4" spans="1:2">
      <c r="A4" s="76" t="s">
        <v>206</v>
      </c>
      <c r="B4" s="76">
        <v>58</v>
      </c>
    </row>
    <row r="5" spans="1:2">
      <c r="A5" s="76" t="s">
        <v>207</v>
      </c>
      <c r="B5" s="124">
        <v>2968651.71</v>
      </c>
    </row>
    <row r="7" spans="1:2">
      <c r="A7" s="136" t="s">
        <v>209</v>
      </c>
      <c r="B7" s="136"/>
    </row>
    <row r="8" spans="1:2">
      <c r="A8" s="76" t="s">
        <v>204</v>
      </c>
      <c r="B8" s="124">
        <v>1994707.2</v>
      </c>
    </row>
    <row r="9" spans="1:2">
      <c r="A9" s="76" t="s">
        <v>205</v>
      </c>
      <c r="B9" s="76">
        <v>127</v>
      </c>
    </row>
    <row r="10" spans="1:2">
      <c r="A10" s="76" t="s">
        <v>206</v>
      </c>
      <c r="B10" s="76">
        <v>97</v>
      </c>
    </row>
    <row r="11" spans="1:2">
      <c r="A11" s="76" t="s">
        <v>207</v>
      </c>
      <c r="B11" s="124">
        <v>1856965.4</v>
      </c>
    </row>
  </sheetData>
  <pageMargins left="0.7" right="0.7" top="0.75" bottom="0.75" header="0.3" footer="0.3"/>
  <pageSetup paperSize="9" orientation="portrait" horizontalDpi="0" verticalDpi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U36"/>
  <sheetViews>
    <sheetView zoomScale="110" zoomScaleNormal="110" workbookViewId="0">
      <pane xSplit="1" topLeftCell="L1" activePane="topRight" state="frozen"/>
      <selection pane="topRight" sqref="A1:U19"/>
    </sheetView>
  </sheetViews>
  <sheetFormatPr defaultColWidth="11" defaultRowHeight="15.75"/>
  <cols>
    <col min="1" max="1" width="35.375" customWidth="1"/>
    <col min="2" max="11" width="0" hidden="1" customWidth="1"/>
  </cols>
  <sheetData>
    <row r="1" spans="1:21" ht="16.5" thickBot="1">
      <c r="A1" s="1" t="s">
        <v>27</v>
      </c>
      <c r="B1" s="58">
        <v>2024</v>
      </c>
      <c r="C1" s="58">
        <f>B1+1</f>
        <v>2025</v>
      </c>
      <c r="D1" s="58">
        <f t="shared" ref="D1:U1" si="0">C1+1</f>
        <v>2026</v>
      </c>
      <c r="E1" s="58">
        <f t="shared" si="0"/>
        <v>2027</v>
      </c>
      <c r="F1" s="58">
        <f t="shared" si="0"/>
        <v>2028</v>
      </c>
      <c r="G1" s="58">
        <f t="shared" si="0"/>
        <v>2029</v>
      </c>
      <c r="H1" s="58">
        <f t="shared" si="0"/>
        <v>2030</v>
      </c>
      <c r="I1" s="58">
        <f t="shared" si="0"/>
        <v>2031</v>
      </c>
      <c r="J1" s="58">
        <f t="shared" si="0"/>
        <v>2032</v>
      </c>
      <c r="K1" s="58">
        <f t="shared" si="0"/>
        <v>2033</v>
      </c>
      <c r="L1" s="58">
        <f t="shared" si="0"/>
        <v>2034</v>
      </c>
      <c r="M1" s="58">
        <f t="shared" si="0"/>
        <v>2035</v>
      </c>
      <c r="N1" s="58">
        <f t="shared" si="0"/>
        <v>2036</v>
      </c>
      <c r="O1" s="58">
        <f t="shared" si="0"/>
        <v>2037</v>
      </c>
      <c r="P1" s="58">
        <f t="shared" si="0"/>
        <v>2038</v>
      </c>
      <c r="Q1" s="58">
        <f t="shared" si="0"/>
        <v>2039</v>
      </c>
      <c r="R1" s="58">
        <f t="shared" si="0"/>
        <v>2040</v>
      </c>
      <c r="S1" s="58">
        <f t="shared" si="0"/>
        <v>2041</v>
      </c>
      <c r="T1" s="58">
        <f t="shared" si="0"/>
        <v>2042</v>
      </c>
      <c r="U1" s="58">
        <f t="shared" si="0"/>
        <v>2043</v>
      </c>
    </row>
    <row r="2" spans="1:21" ht="16.5" hidden="1" thickBot="1">
      <c r="A2" s="3"/>
      <c r="B2" s="4" t="s">
        <v>56</v>
      </c>
      <c r="C2" s="4" t="s">
        <v>56</v>
      </c>
      <c r="D2" s="4" t="s">
        <v>56</v>
      </c>
      <c r="E2" s="4" t="s">
        <v>56</v>
      </c>
      <c r="F2" s="4" t="s">
        <v>56</v>
      </c>
      <c r="G2" s="4" t="s">
        <v>56</v>
      </c>
      <c r="H2" s="4" t="s">
        <v>56</v>
      </c>
      <c r="I2" s="4" t="s">
        <v>56</v>
      </c>
      <c r="J2" s="4" t="s">
        <v>56</v>
      </c>
      <c r="K2" s="4" t="s">
        <v>56</v>
      </c>
      <c r="L2" s="4" t="s">
        <v>56</v>
      </c>
      <c r="M2" s="4" t="s">
        <v>56</v>
      </c>
      <c r="N2" s="4" t="s">
        <v>56</v>
      </c>
      <c r="O2" s="4" t="s">
        <v>56</v>
      </c>
      <c r="P2" s="4" t="s">
        <v>56</v>
      </c>
      <c r="Q2" s="4" t="s">
        <v>56</v>
      </c>
      <c r="R2" s="4" t="s">
        <v>56</v>
      </c>
      <c r="S2" s="4" t="s">
        <v>56</v>
      </c>
      <c r="T2" s="4" t="s">
        <v>56</v>
      </c>
      <c r="U2" s="4" t="s">
        <v>56</v>
      </c>
    </row>
    <row r="3" spans="1:21" ht="16.5" hidden="1" thickBot="1">
      <c r="A3" s="3" t="s">
        <v>57</v>
      </c>
      <c r="B3" s="54">
        <v>101420.36</v>
      </c>
      <c r="C3" s="54">
        <f>'Bilancio EQUILIBRI EELL'!E7</f>
        <v>474981.36</v>
      </c>
      <c r="D3" s="54">
        <f>'Bilancio EQUILIBRI EELL'!F7</f>
        <v>474981.36</v>
      </c>
      <c r="E3" s="54">
        <f>'Bilancio EQUILIBRI EELL'!G7</f>
        <v>474290.56</v>
      </c>
      <c r="F3" s="54">
        <v>474290.56</v>
      </c>
      <c r="G3" s="54">
        <v>474290.56</v>
      </c>
      <c r="H3" s="54">
        <v>474290.56</v>
      </c>
      <c r="I3" s="54">
        <v>474290.56</v>
      </c>
      <c r="J3" s="54">
        <v>474290.56</v>
      </c>
      <c r="K3" s="54">
        <v>474290.56</v>
      </c>
      <c r="L3" s="54">
        <v>474290.56</v>
      </c>
      <c r="M3" s="54">
        <v>474290.56</v>
      </c>
      <c r="N3" s="54">
        <v>474290.56</v>
      </c>
      <c r="O3" s="54">
        <v>474290.56</v>
      </c>
      <c r="P3" s="54">
        <f>'Bilancio EQUILIBRI EELL'!R7</f>
        <v>456661.04</v>
      </c>
      <c r="Q3" s="54">
        <f>'Bilancio EQUILIBRI EELL'!S7</f>
        <v>74981.36</v>
      </c>
      <c r="R3" s="54">
        <v>74981.36</v>
      </c>
      <c r="S3" s="54">
        <v>74981.36</v>
      </c>
      <c r="T3" s="54">
        <v>74981.36</v>
      </c>
      <c r="U3" s="54">
        <v>74981.36</v>
      </c>
    </row>
    <row r="4" spans="1:21" ht="16.5" hidden="1" thickBot="1">
      <c r="A4" s="3" t="s">
        <v>29</v>
      </c>
      <c r="B4" s="54">
        <f>SUM(B6:B13)</f>
        <v>3776372.37</v>
      </c>
      <c r="C4" s="54">
        <f>SUM(C6:C13)</f>
        <v>4324686.3100000005</v>
      </c>
      <c r="D4" s="54">
        <f t="shared" ref="D4:U4" si="1">SUM(D6:D13)</f>
        <v>4103777.9800000004</v>
      </c>
      <c r="E4" s="54">
        <f t="shared" si="1"/>
        <v>5038030.78</v>
      </c>
      <c r="F4" s="54">
        <f t="shared" si="1"/>
        <v>4188030.7800000003</v>
      </c>
      <c r="G4" s="54">
        <f t="shared" si="1"/>
        <v>4188030.7800000003</v>
      </c>
      <c r="H4" s="54">
        <f t="shared" si="1"/>
        <v>4188030.7800000003</v>
      </c>
      <c r="I4" s="54">
        <f t="shared" si="1"/>
        <v>4188030.7800000003</v>
      </c>
      <c r="J4" s="54">
        <f t="shared" si="1"/>
        <v>4188030.7800000003</v>
      </c>
      <c r="K4" s="54">
        <f t="shared" si="1"/>
        <v>4188030.7800000003</v>
      </c>
      <c r="L4" s="54">
        <f t="shared" si="1"/>
        <v>4188030.7800000003</v>
      </c>
      <c r="M4" s="54">
        <f t="shared" si="1"/>
        <v>4188030.7800000003</v>
      </c>
      <c r="N4" s="54">
        <f t="shared" si="1"/>
        <v>4188030.7800000003</v>
      </c>
      <c r="O4" s="54">
        <f t="shared" si="1"/>
        <v>4188030.7800000003</v>
      </c>
      <c r="P4" s="54">
        <f t="shared" si="1"/>
        <v>4205660.3000000007</v>
      </c>
      <c r="Q4" s="54">
        <f t="shared" si="1"/>
        <v>4587339.9800000004</v>
      </c>
      <c r="R4" s="54">
        <f t="shared" si="1"/>
        <v>4587339.9800000004</v>
      </c>
      <c r="S4" s="54">
        <f t="shared" si="1"/>
        <v>4587339.9800000004</v>
      </c>
      <c r="T4" s="54">
        <f t="shared" si="1"/>
        <v>4587339.9800000004</v>
      </c>
      <c r="U4" s="54">
        <f t="shared" si="1"/>
        <v>4587339.9800000004</v>
      </c>
    </row>
    <row r="5" spans="1:21" ht="16.5" hidden="1" thickBot="1">
      <c r="A5" s="5" t="s">
        <v>19</v>
      </c>
      <c r="B5" s="54"/>
      <c r="C5" s="54"/>
      <c r="D5" s="5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16.5" hidden="1" thickBot="1">
      <c r="A6" s="5" t="s">
        <v>30</v>
      </c>
      <c r="B6" s="54">
        <v>502722.52</v>
      </c>
      <c r="C6" s="54">
        <v>515922.52</v>
      </c>
      <c r="D6" s="54">
        <v>502722.52</v>
      </c>
      <c r="E6" s="54">
        <v>502722.52</v>
      </c>
      <c r="F6" s="54">
        <v>502722.52</v>
      </c>
      <c r="G6" s="54">
        <v>502722.52</v>
      </c>
      <c r="H6" s="54">
        <v>502722.52</v>
      </c>
      <c r="I6" s="54">
        <v>502722.52</v>
      </c>
      <c r="J6" s="54">
        <v>502722.52</v>
      </c>
      <c r="K6" s="54">
        <v>502722.52</v>
      </c>
      <c r="L6" s="54">
        <v>502722.52</v>
      </c>
      <c r="M6" s="54">
        <v>502722.52</v>
      </c>
      <c r="N6" s="54">
        <v>502722.52</v>
      </c>
      <c r="O6" s="54">
        <v>502722.52</v>
      </c>
      <c r="P6" s="54">
        <v>502722.52</v>
      </c>
      <c r="Q6" s="54">
        <v>502722.52</v>
      </c>
      <c r="R6" s="54">
        <v>502722.52</v>
      </c>
      <c r="S6" s="54">
        <v>502722.52</v>
      </c>
      <c r="T6" s="54">
        <v>502722.52</v>
      </c>
      <c r="U6" s="54">
        <v>502722.52</v>
      </c>
    </row>
    <row r="7" spans="1:21" ht="16.5" hidden="1" thickBot="1">
      <c r="A7" s="5" t="s">
        <v>31</v>
      </c>
      <c r="B7" s="54">
        <v>35586</v>
      </c>
      <c r="C7" s="54">
        <v>36436</v>
      </c>
      <c r="D7" s="54">
        <v>35586</v>
      </c>
      <c r="E7" s="54">
        <v>35586</v>
      </c>
      <c r="F7" s="54">
        <v>35586</v>
      </c>
      <c r="G7" s="54">
        <v>35586</v>
      </c>
      <c r="H7" s="54">
        <v>35586</v>
      </c>
      <c r="I7" s="54">
        <v>35586</v>
      </c>
      <c r="J7" s="54">
        <v>35586</v>
      </c>
      <c r="K7" s="54">
        <v>35586</v>
      </c>
      <c r="L7" s="54">
        <v>35586</v>
      </c>
      <c r="M7" s="54">
        <v>35586</v>
      </c>
      <c r="N7" s="54">
        <v>35586</v>
      </c>
      <c r="O7" s="54">
        <v>35586</v>
      </c>
      <c r="P7" s="54">
        <v>35586</v>
      </c>
      <c r="Q7" s="54">
        <v>35586</v>
      </c>
      <c r="R7" s="54">
        <v>35586</v>
      </c>
      <c r="S7" s="54">
        <v>35586</v>
      </c>
      <c r="T7" s="54">
        <v>35586</v>
      </c>
      <c r="U7" s="54">
        <v>35586</v>
      </c>
    </row>
    <row r="8" spans="1:21" ht="16.5" hidden="1" thickBot="1">
      <c r="A8" s="5" t="s">
        <v>32</v>
      </c>
      <c r="B8" s="54">
        <v>1495960.15</v>
      </c>
      <c r="C8" s="54">
        <v>1383173.25</v>
      </c>
      <c r="D8" s="54">
        <v>1375173.65</v>
      </c>
      <c r="E8" s="54">
        <v>1375173.65</v>
      </c>
      <c r="F8" s="54">
        <v>1375173.65</v>
      </c>
      <c r="G8" s="54">
        <v>1375173.65</v>
      </c>
      <c r="H8" s="54">
        <v>1375173.65</v>
      </c>
      <c r="I8" s="54">
        <v>1375173.65</v>
      </c>
      <c r="J8" s="54">
        <v>1375173.65</v>
      </c>
      <c r="K8" s="54">
        <v>1375173.65</v>
      </c>
      <c r="L8" s="54">
        <v>1375173.65</v>
      </c>
      <c r="M8" s="54">
        <v>1375173.65</v>
      </c>
      <c r="N8" s="54">
        <v>1375173.65</v>
      </c>
      <c r="O8" s="54">
        <v>1375173.65</v>
      </c>
      <c r="P8" s="54">
        <v>1375173.65</v>
      </c>
      <c r="Q8" s="54">
        <v>1375173.65</v>
      </c>
      <c r="R8" s="54">
        <v>1375173.65</v>
      </c>
      <c r="S8" s="54">
        <v>1375173.65</v>
      </c>
      <c r="T8" s="54">
        <v>1375173.65</v>
      </c>
      <c r="U8" s="54">
        <v>1375173.65</v>
      </c>
    </row>
    <row r="9" spans="1:21" ht="16.5" hidden="1" thickBot="1">
      <c r="A9" s="5" t="s">
        <v>33</v>
      </c>
      <c r="B9" s="54">
        <v>65521.62</v>
      </c>
      <c r="C9" s="54">
        <v>65521.62</v>
      </c>
      <c r="D9" s="54">
        <v>131641.62</v>
      </c>
      <c r="E9" s="54">
        <v>131641.62</v>
      </c>
      <c r="F9" s="54">
        <v>131641.62</v>
      </c>
      <c r="G9" s="54">
        <v>131641.62</v>
      </c>
      <c r="H9" s="54">
        <v>131641.62</v>
      </c>
      <c r="I9" s="54">
        <v>131641.62</v>
      </c>
      <c r="J9" s="54">
        <v>131641.62</v>
      </c>
      <c r="K9" s="54">
        <v>131641.62</v>
      </c>
      <c r="L9" s="54">
        <v>131641.62</v>
      </c>
      <c r="M9" s="54">
        <v>131641.62</v>
      </c>
      <c r="N9" s="54">
        <v>131641.62</v>
      </c>
      <c r="O9" s="54">
        <v>131641.62</v>
      </c>
      <c r="P9" s="54">
        <v>131641.62</v>
      </c>
      <c r="Q9" s="54">
        <v>131641.62</v>
      </c>
      <c r="R9" s="54">
        <v>131641.62</v>
      </c>
      <c r="S9" s="54">
        <v>131641.62</v>
      </c>
      <c r="T9" s="54">
        <v>131641.62</v>
      </c>
      <c r="U9" s="54">
        <v>131641.62</v>
      </c>
    </row>
    <row r="10" spans="1:21" ht="16.5" hidden="1" thickBot="1">
      <c r="A10" s="5" t="s">
        <v>34</v>
      </c>
      <c r="B10" s="54">
        <v>182547.79</v>
      </c>
      <c r="C10" s="54">
        <v>176833.04</v>
      </c>
      <c r="D10" s="54">
        <v>208464.62</v>
      </c>
      <c r="E10" s="54">
        <v>208464.62</v>
      </c>
      <c r="F10" s="54">
        <v>208464.62</v>
      </c>
      <c r="G10" s="54">
        <v>208464.62</v>
      </c>
      <c r="H10" s="54">
        <v>208464.62</v>
      </c>
      <c r="I10" s="54">
        <v>208464.62</v>
      </c>
      <c r="J10" s="54">
        <v>208464.62</v>
      </c>
      <c r="K10" s="54">
        <v>208464.62</v>
      </c>
      <c r="L10" s="54">
        <v>208464.62</v>
      </c>
      <c r="M10" s="54">
        <v>208464.62</v>
      </c>
      <c r="N10" s="54">
        <v>208464.62</v>
      </c>
      <c r="O10" s="54">
        <v>208464.62</v>
      </c>
      <c r="P10" s="54">
        <v>208464.62</v>
      </c>
      <c r="Q10" s="54">
        <v>208464.62</v>
      </c>
      <c r="R10" s="54">
        <v>208464.62</v>
      </c>
      <c r="S10" s="54">
        <v>208464.62</v>
      </c>
      <c r="T10" s="54">
        <v>208464.62</v>
      </c>
      <c r="U10" s="54">
        <v>208464.62</v>
      </c>
    </row>
    <row r="11" spans="1:21" ht="16.5" hidden="1" thickBot="1">
      <c r="A11" s="5" t="s">
        <v>35</v>
      </c>
      <c r="B11" s="54"/>
      <c r="C11" s="54"/>
      <c r="D11" s="5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16.5" hidden="1" thickBot="1">
      <c r="A12" s="5" t="s">
        <v>36</v>
      </c>
      <c r="B12" s="54">
        <v>2000</v>
      </c>
      <c r="C12" s="54">
        <v>2000</v>
      </c>
      <c r="D12" s="54">
        <v>2000</v>
      </c>
      <c r="E12" s="54">
        <v>2000</v>
      </c>
      <c r="F12" s="54">
        <v>2000</v>
      </c>
      <c r="G12" s="54">
        <v>2000</v>
      </c>
      <c r="H12" s="54">
        <v>2000</v>
      </c>
      <c r="I12" s="54">
        <v>2000</v>
      </c>
      <c r="J12" s="54">
        <v>2000</v>
      </c>
      <c r="K12" s="54">
        <v>2000</v>
      </c>
      <c r="L12" s="54">
        <v>2000</v>
      </c>
      <c r="M12" s="54">
        <v>2000</v>
      </c>
      <c r="N12" s="54">
        <v>2000</v>
      </c>
      <c r="O12" s="54">
        <v>2000</v>
      </c>
      <c r="P12" s="54">
        <v>2000</v>
      </c>
      <c r="Q12" s="54">
        <v>2000</v>
      </c>
      <c r="R12" s="54">
        <v>2000</v>
      </c>
      <c r="S12" s="54">
        <v>2000</v>
      </c>
      <c r="T12" s="54">
        <v>2000</v>
      </c>
      <c r="U12" s="54">
        <v>2000</v>
      </c>
    </row>
    <row r="13" spans="1:21" ht="16.5" hidden="1" thickBot="1">
      <c r="A13" s="5" t="s">
        <v>37</v>
      </c>
      <c r="B13" s="54">
        <v>1492034.29</v>
      </c>
      <c r="C13" s="54">
        <v>2144799.88</v>
      </c>
      <c r="D13" s="54">
        <v>1848189.57</v>
      </c>
      <c r="E13" s="54">
        <v>2782442.37</v>
      </c>
      <c r="F13" s="54">
        <f>2782442.37-850000</f>
        <v>1932442.37</v>
      </c>
      <c r="G13" s="54">
        <f t="shared" ref="G13:O13" si="2">2782442.37-850000</f>
        <v>1932442.37</v>
      </c>
      <c r="H13" s="54">
        <f t="shared" si="2"/>
        <v>1932442.37</v>
      </c>
      <c r="I13" s="54">
        <f t="shared" si="2"/>
        <v>1932442.37</v>
      </c>
      <c r="J13" s="54">
        <f t="shared" si="2"/>
        <v>1932442.37</v>
      </c>
      <c r="K13" s="54">
        <f t="shared" si="2"/>
        <v>1932442.37</v>
      </c>
      <c r="L13" s="54">
        <f t="shared" si="2"/>
        <v>1932442.37</v>
      </c>
      <c r="M13" s="54">
        <f t="shared" si="2"/>
        <v>1932442.37</v>
      </c>
      <c r="N13" s="54">
        <f t="shared" si="2"/>
        <v>1932442.37</v>
      </c>
      <c r="O13" s="54">
        <f t="shared" si="2"/>
        <v>1932442.37</v>
      </c>
      <c r="P13" s="54">
        <f>2782442.37-850000+17629.52</f>
        <v>1950071.8900000001</v>
      </c>
      <c r="Q13" s="54">
        <f>2782442.37-850000+399309.2</f>
        <v>2331751.5700000003</v>
      </c>
      <c r="R13" s="54">
        <f t="shared" ref="R13:U13" si="3">2782442.37-850000+399309.2</f>
        <v>2331751.5700000003</v>
      </c>
      <c r="S13" s="54">
        <f t="shared" si="3"/>
        <v>2331751.5700000003</v>
      </c>
      <c r="T13" s="54">
        <f t="shared" si="3"/>
        <v>2331751.5700000003</v>
      </c>
      <c r="U13" s="54">
        <f t="shared" si="3"/>
        <v>2331751.5700000003</v>
      </c>
    </row>
    <row r="14" spans="1:21" ht="16.5" hidden="1" thickBot="1">
      <c r="A14" s="5" t="s">
        <v>38</v>
      </c>
      <c r="B14" s="54"/>
      <c r="C14" s="54"/>
      <c r="D14" s="5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6.5" hidden="1" thickBot="1">
      <c r="A15" s="5" t="s">
        <v>39</v>
      </c>
      <c r="B15" s="54">
        <v>687469.06</v>
      </c>
      <c r="C15" s="130">
        <f>'Bilancio EQUILIBRI EELL'!E17</f>
        <v>1506579.12</v>
      </c>
      <c r="D15" s="130">
        <f>'Bilancio EQUILIBRI EELL'!F17</f>
        <v>1424277.1</v>
      </c>
      <c r="E15" s="130">
        <f>'Bilancio EQUILIBRI EELL'!G17</f>
        <v>2144212.9900000002</v>
      </c>
      <c r="F15" s="130">
        <f>2144212.99-850000</f>
        <v>1294212.9900000002</v>
      </c>
      <c r="G15" s="130">
        <f t="shared" ref="G15:U15" si="4">2144212.99-850000</f>
        <v>1294212.9900000002</v>
      </c>
      <c r="H15" s="130">
        <f t="shared" si="4"/>
        <v>1294212.9900000002</v>
      </c>
      <c r="I15" s="130">
        <f t="shared" si="4"/>
        <v>1294212.9900000002</v>
      </c>
      <c r="J15" s="130">
        <f t="shared" si="4"/>
        <v>1294212.9900000002</v>
      </c>
      <c r="K15" s="130">
        <f t="shared" si="4"/>
        <v>1294212.9900000002</v>
      </c>
      <c r="L15" s="130">
        <f t="shared" si="4"/>
        <v>1294212.9900000002</v>
      </c>
      <c r="M15" s="130">
        <f t="shared" si="4"/>
        <v>1294212.9900000002</v>
      </c>
      <c r="N15" s="130">
        <f t="shared" si="4"/>
        <v>1294212.9900000002</v>
      </c>
      <c r="O15" s="130">
        <f t="shared" si="4"/>
        <v>1294212.9900000002</v>
      </c>
      <c r="P15" s="130">
        <f>2144212.99-850000</f>
        <v>1294212.9900000002</v>
      </c>
      <c r="Q15" s="130">
        <f t="shared" si="4"/>
        <v>1294212.9900000002</v>
      </c>
      <c r="R15" s="130">
        <f t="shared" si="4"/>
        <v>1294212.9900000002</v>
      </c>
      <c r="S15" s="130">
        <f t="shared" si="4"/>
        <v>1294212.9900000002</v>
      </c>
      <c r="T15" s="130">
        <f t="shared" si="4"/>
        <v>1294212.9900000002</v>
      </c>
      <c r="U15" s="130">
        <f t="shared" si="4"/>
        <v>1294212.9900000002</v>
      </c>
    </row>
    <row r="16" spans="1:21" ht="23.25" thickBot="1">
      <c r="A16" s="5" t="s">
        <v>40</v>
      </c>
      <c r="B16" s="54"/>
      <c r="C16" s="130">
        <f>'Hp Ripiano Coperture'!D7</f>
        <v>293411.01</v>
      </c>
      <c r="D16" s="130">
        <f>'Hp Ripiano Coperture'!E7</f>
        <v>110072.42000000001</v>
      </c>
      <c r="E16" s="130">
        <f>'Hp Ripiano Coperture'!F7</f>
        <v>370509.74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</row>
    <row r="17" spans="1:21" ht="16.5" hidden="1" thickBot="1">
      <c r="A17" s="5" t="s">
        <v>41</v>
      </c>
      <c r="B17" s="54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</row>
    <row r="18" spans="1:21" ht="16.5" hidden="1" thickBot="1">
      <c r="A18" s="5" t="s">
        <v>42</v>
      </c>
      <c r="B18" s="130">
        <f>B13-B15-B20</f>
        <v>243059.47999999998</v>
      </c>
      <c r="C18" s="130">
        <f>41390.75+74096.59+18576.52+2208</f>
        <v>136271.85999999999</v>
      </c>
      <c r="D18" s="130">
        <f t="shared" ref="D18:U18" si="5">41390.75+74096.59+18576.52+2208</f>
        <v>136271.85999999999</v>
      </c>
      <c r="E18" s="130">
        <f t="shared" si="5"/>
        <v>136271.85999999999</v>
      </c>
      <c r="F18" s="130">
        <f t="shared" si="5"/>
        <v>136271.85999999999</v>
      </c>
      <c r="G18" s="130">
        <f t="shared" si="5"/>
        <v>136271.85999999999</v>
      </c>
      <c r="H18" s="130">
        <f t="shared" si="5"/>
        <v>136271.85999999999</v>
      </c>
      <c r="I18" s="130">
        <f t="shared" si="5"/>
        <v>136271.85999999999</v>
      </c>
      <c r="J18" s="130">
        <f t="shared" si="5"/>
        <v>136271.85999999999</v>
      </c>
      <c r="K18" s="130">
        <f t="shared" si="5"/>
        <v>136271.85999999999</v>
      </c>
      <c r="L18" s="130">
        <f t="shared" si="5"/>
        <v>136271.85999999999</v>
      </c>
      <c r="M18" s="130">
        <f t="shared" si="5"/>
        <v>136271.85999999999</v>
      </c>
      <c r="N18" s="130">
        <f t="shared" si="5"/>
        <v>136271.85999999999</v>
      </c>
      <c r="O18" s="130">
        <f t="shared" si="5"/>
        <v>136271.85999999999</v>
      </c>
      <c r="P18" s="130">
        <f t="shared" si="5"/>
        <v>136271.85999999999</v>
      </c>
      <c r="Q18" s="130">
        <f t="shared" si="5"/>
        <v>136271.85999999999</v>
      </c>
      <c r="R18" s="130">
        <f t="shared" si="5"/>
        <v>136271.85999999999</v>
      </c>
      <c r="S18" s="130">
        <f t="shared" si="5"/>
        <v>136271.85999999999</v>
      </c>
      <c r="T18" s="130">
        <f t="shared" si="5"/>
        <v>136271.85999999999</v>
      </c>
      <c r="U18" s="130">
        <f t="shared" si="5"/>
        <v>136271.85999999999</v>
      </c>
    </row>
    <row r="19" spans="1:21" ht="16.5" thickBot="1">
      <c r="A19" s="5" t="s">
        <v>43</v>
      </c>
      <c r="B19" s="54"/>
      <c r="C19" s="130"/>
      <c r="D19" s="130"/>
      <c r="E19" s="132"/>
      <c r="F19" s="130">
        <f t="shared" ref="F19:U19" si="6">F13-F15-F16-F17-F18-F20-F21</f>
        <v>348962.89999999985</v>
      </c>
      <c r="G19" s="130">
        <f t="shared" si="6"/>
        <v>353652.91999999987</v>
      </c>
      <c r="H19" s="130">
        <f t="shared" si="6"/>
        <v>386178.0199999999</v>
      </c>
      <c r="I19" s="130">
        <f t="shared" si="6"/>
        <v>386178.0199999999</v>
      </c>
      <c r="J19" s="130">
        <f t="shared" si="6"/>
        <v>386178.0199999999</v>
      </c>
      <c r="K19" s="130">
        <f t="shared" si="6"/>
        <v>386177.97999999992</v>
      </c>
      <c r="L19" s="130">
        <f t="shared" si="6"/>
        <v>416764.00999999989</v>
      </c>
      <c r="M19" s="130">
        <f t="shared" si="6"/>
        <v>446934.03999999986</v>
      </c>
      <c r="N19" s="130">
        <f t="shared" si="6"/>
        <v>454022.47999999986</v>
      </c>
      <c r="O19" s="130">
        <f t="shared" si="6"/>
        <v>454022.47999999986</v>
      </c>
      <c r="P19" s="130">
        <f t="shared" si="6"/>
        <v>471651.99999999988</v>
      </c>
      <c r="Q19" s="130">
        <f t="shared" si="6"/>
        <v>853331.68000000017</v>
      </c>
      <c r="R19" s="130">
        <f t="shared" si="6"/>
        <v>853331.68000000017</v>
      </c>
      <c r="S19" s="130">
        <f t="shared" si="6"/>
        <v>853331.68000000017</v>
      </c>
      <c r="T19" s="130">
        <f t="shared" si="6"/>
        <v>853331.17000000016</v>
      </c>
      <c r="U19" s="130">
        <f t="shared" si="6"/>
        <v>874878.52000000014</v>
      </c>
    </row>
    <row r="20" spans="1:21" ht="16.5" hidden="1" thickBot="1">
      <c r="A20" s="5" t="s">
        <v>44</v>
      </c>
      <c r="B20" s="54">
        <v>561505.75</v>
      </c>
      <c r="C20" s="130">
        <f>'Hp Ripiano Coperture'!D4+'Hp Ripiano Coperture'!D5</f>
        <v>172434.15999999997</v>
      </c>
      <c r="D20" s="130">
        <f>'Hp Ripiano Coperture'!E4+'Hp Ripiano Coperture'!E5</f>
        <v>151179.99</v>
      </c>
      <c r="E20" s="130">
        <f>'Hp Ripiano Coperture'!F4+'Hp Ripiano Coperture'!F5</f>
        <v>105059.57999999999</v>
      </c>
      <c r="F20" s="130">
        <f>'Hp Ripiano Coperture'!G4+'Hp Ripiano Coperture'!G5</f>
        <v>126606.42000000001</v>
      </c>
      <c r="G20" s="130">
        <f>'Hp Ripiano Coperture'!H4+'Hp Ripiano Coperture'!H5</f>
        <v>121916.4</v>
      </c>
      <c r="H20" s="130">
        <f>'Hp Ripiano Coperture'!I4+'Hp Ripiano Coperture'!I5</f>
        <v>89391.299999999988</v>
      </c>
      <c r="I20" s="130">
        <f>'Hp Ripiano Coperture'!J4+'Hp Ripiano Coperture'!J5</f>
        <v>89391.299999999988</v>
      </c>
      <c r="J20" s="130">
        <f>'Hp Ripiano Coperture'!K4+'Hp Ripiano Coperture'!K5</f>
        <v>89391.299999999988</v>
      </c>
      <c r="K20" s="130">
        <f>'Hp Ripiano Coperture'!L4+'Hp Ripiano Coperture'!L5</f>
        <v>89391.34</v>
      </c>
      <c r="L20" s="130">
        <f>'Hp Ripiano Coperture'!M4+'Hp Ripiano Coperture'!M5</f>
        <v>58805.31</v>
      </c>
      <c r="M20" s="130">
        <f>'Hp Ripiano Coperture'!N5</f>
        <v>28635.279999999999</v>
      </c>
      <c r="N20" s="130">
        <f>'Hp Ripiano Coperture'!O5</f>
        <v>21546.84</v>
      </c>
      <c r="O20" s="130">
        <f>'Hp Ripiano Coperture'!P5</f>
        <v>21546.84</v>
      </c>
      <c r="P20" s="130">
        <f>'Hp Ripiano Coperture'!Q5</f>
        <v>21546.84</v>
      </c>
      <c r="Q20" s="130">
        <f>'Hp Ripiano Coperture'!R5</f>
        <v>21546.84</v>
      </c>
      <c r="R20" s="132">
        <f>'Hp Ripiano Coperture'!S5</f>
        <v>21546.84</v>
      </c>
      <c r="S20" s="132">
        <f>'Hp Ripiano Coperture'!T5</f>
        <v>21546.84</v>
      </c>
      <c r="T20" s="132">
        <f>'Hp Ripiano Coperture'!U5</f>
        <v>21547.350000000002</v>
      </c>
      <c r="U20" s="132"/>
    </row>
    <row r="21" spans="1:21" ht="16.5" hidden="1" thickBot="1">
      <c r="A21" s="5" t="s">
        <v>45</v>
      </c>
      <c r="B21" s="54"/>
      <c r="C21" s="130">
        <v>36103.730000000003</v>
      </c>
      <c r="D21" s="130">
        <f>36103.73-9715.53</f>
        <v>26388.200000000004</v>
      </c>
      <c r="E21" s="130">
        <f>36103.73-9715.53</f>
        <v>26388.200000000004</v>
      </c>
      <c r="F21" s="130">
        <f t="shared" ref="F21:U21" si="7">36103.73-9715.53</f>
        <v>26388.200000000004</v>
      </c>
      <c r="G21" s="130">
        <f t="shared" si="7"/>
        <v>26388.200000000004</v>
      </c>
      <c r="H21" s="130">
        <f t="shared" si="7"/>
        <v>26388.200000000004</v>
      </c>
      <c r="I21" s="130">
        <f t="shared" si="7"/>
        <v>26388.200000000004</v>
      </c>
      <c r="J21" s="130">
        <f t="shared" si="7"/>
        <v>26388.200000000004</v>
      </c>
      <c r="K21" s="130">
        <f t="shared" si="7"/>
        <v>26388.200000000004</v>
      </c>
      <c r="L21" s="130">
        <f t="shared" si="7"/>
        <v>26388.200000000004</v>
      </c>
      <c r="M21" s="130">
        <f t="shared" si="7"/>
        <v>26388.200000000004</v>
      </c>
      <c r="N21" s="130">
        <f t="shared" si="7"/>
        <v>26388.200000000004</v>
      </c>
      <c r="O21" s="130">
        <f t="shared" si="7"/>
        <v>26388.200000000004</v>
      </c>
      <c r="P21" s="130">
        <f t="shared" si="7"/>
        <v>26388.200000000004</v>
      </c>
      <c r="Q21" s="130">
        <f t="shared" si="7"/>
        <v>26388.200000000004</v>
      </c>
      <c r="R21" s="130">
        <f t="shared" si="7"/>
        <v>26388.200000000004</v>
      </c>
      <c r="S21" s="130">
        <f t="shared" si="7"/>
        <v>26388.200000000004</v>
      </c>
      <c r="T21" s="130">
        <f t="shared" si="7"/>
        <v>26388.200000000004</v>
      </c>
      <c r="U21" s="130">
        <f t="shared" si="7"/>
        <v>26388.200000000004</v>
      </c>
    </row>
    <row r="22" spans="1:21" ht="16.5" thickBot="1">
      <c r="A22" s="3" t="s">
        <v>46</v>
      </c>
      <c r="B22" s="54">
        <v>4125637.15</v>
      </c>
      <c r="C22" s="54">
        <v>1085000</v>
      </c>
      <c r="D22" s="54">
        <v>165000</v>
      </c>
      <c r="E22" s="54">
        <v>165000</v>
      </c>
      <c r="F22" s="54">
        <v>165000</v>
      </c>
      <c r="G22" s="54">
        <v>165000</v>
      </c>
      <c r="H22" s="54">
        <v>165000</v>
      </c>
      <c r="I22" s="54">
        <v>165000</v>
      </c>
      <c r="J22" s="54">
        <v>165000</v>
      </c>
      <c r="K22" s="54">
        <v>165000</v>
      </c>
      <c r="L22" s="54">
        <v>165000</v>
      </c>
      <c r="M22" s="54">
        <v>165000</v>
      </c>
      <c r="N22" s="54">
        <v>165000</v>
      </c>
      <c r="O22" s="54">
        <v>165000</v>
      </c>
      <c r="P22" s="54">
        <v>165000</v>
      </c>
      <c r="Q22" s="54">
        <v>165000</v>
      </c>
      <c r="R22" s="54">
        <v>165000</v>
      </c>
      <c r="S22" s="54">
        <v>165000</v>
      </c>
      <c r="T22" s="54">
        <v>165000</v>
      </c>
      <c r="U22" s="54">
        <v>165000</v>
      </c>
    </row>
    <row r="23" spans="1:21">
      <c r="A23" s="6" t="s">
        <v>19</v>
      </c>
      <c r="B23" s="145"/>
      <c r="C23" s="145"/>
      <c r="D23" s="145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</row>
    <row r="24" spans="1:21" ht="16.5" thickBot="1">
      <c r="A24" s="5" t="s">
        <v>47</v>
      </c>
      <c r="B24" s="146"/>
      <c r="C24" s="146"/>
      <c r="D24" s="146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</row>
    <row r="25" spans="1:21" ht="23.25" thickBot="1">
      <c r="A25" s="5" t="s">
        <v>48</v>
      </c>
      <c r="B25" s="54"/>
      <c r="C25" s="54"/>
      <c r="D25" s="5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ht="16.5" thickBot="1">
      <c r="A26" s="5" t="s">
        <v>49</v>
      </c>
      <c r="B26" s="54"/>
      <c r="C26" s="54"/>
      <c r="D26" s="5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ht="16.5" thickBot="1">
      <c r="A27" s="3" t="s">
        <v>50</v>
      </c>
      <c r="B27" s="54"/>
      <c r="C27" s="54"/>
      <c r="D27" s="5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ht="16.5" thickBot="1">
      <c r="A28" s="3" t="s">
        <v>51</v>
      </c>
      <c r="B28" s="54">
        <v>256335.19</v>
      </c>
      <c r="C28" s="54">
        <v>923852.29</v>
      </c>
      <c r="D28" s="54">
        <v>268616.71999999997</v>
      </c>
      <c r="E28" s="54">
        <v>268616.71999999997</v>
      </c>
      <c r="F28" s="54">
        <v>268616.71999999997</v>
      </c>
      <c r="G28" s="54">
        <v>268616.71999999997</v>
      </c>
      <c r="H28" s="54">
        <v>268616.71999999997</v>
      </c>
      <c r="I28" s="54">
        <v>268616.71999999997</v>
      </c>
      <c r="J28" s="54">
        <v>268616.71999999997</v>
      </c>
      <c r="K28" s="54">
        <v>268616.71999999997</v>
      </c>
      <c r="L28" s="54">
        <v>268616.71999999997</v>
      </c>
      <c r="M28" s="54">
        <v>268616.71999999997</v>
      </c>
      <c r="N28" s="54">
        <v>268616.71999999997</v>
      </c>
      <c r="O28" s="54">
        <v>268616.71999999997</v>
      </c>
      <c r="P28" s="54">
        <v>268616.71999999997</v>
      </c>
      <c r="Q28" s="54">
        <v>268616.71999999997</v>
      </c>
      <c r="R28" s="54">
        <v>268616.71999999997</v>
      </c>
      <c r="S28" s="54">
        <v>268616.71999999997</v>
      </c>
      <c r="T28" s="54">
        <v>268616.71999999997</v>
      </c>
      <c r="U28" s="54">
        <v>268616.71999999997</v>
      </c>
    </row>
    <row r="29" spans="1:21">
      <c r="A29" s="6" t="s">
        <v>19</v>
      </c>
      <c r="B29" s="145"/>
      <c r="C29" s="155">
        <v>661200</v>
      </c>
      <c r="D29" s="145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</row>
    <row r="30" spans="1:21" ht="16.5" thickBot="1">
      <c r="A30" s="5" t="s">
        <v>20</v>
      </c>
      <c r="B30" s="146"/>
      <c r="C30" s="156"/>
      <c r="D30" s="146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</row>
    <row r="31" spans="1:21" ht="16.5" thickBot="1">
      <c r="A31" s="5" t="s">
        <v>52</v>
      </c>
      <c r="B31" s="54"/>
      <c r="C31" s="54"/>
      <c r="D31" s="5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ht="23.25" thickBot="1">
      <c r="A32" s="3" t="s">
        <v>53</v>
      </c>
      <c r="B32" s="54">
        <v>939372.15</v>
      </c>
      <c r="C32" s="54">
        <v>1329347.2</v>
      </c>
      <c r="D32" s="54">
        <v>1329347.2</v>
      </c>
      <c r="E32" s="54">
        <v>1329347.2</v>
      </c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</row>
    <row r="33" spans="1:21" ht="16.5" thickBot="1">
      <c r="A33" s="3" t="s">
        <v>54</v>
      </c>
      <c r="B33" s="54">
        <v>3911000</v>
      </c>
      <c r="C33" s="54">
        <v>3911000</v>
      </c>
      <c r="D33" s="54">
        <v>3911000</v>
      </c>
      <c r="E33" s="54">
        <v>3911000</v>
      </c>
      <c r="F33" s="54">
        <v>3911000</v>
      </c>
      <c r="G33" s="54">
        <v>3911000</v>
      </c>
      <c r="H33" s="54">
        <v>3911000</v>
      </c>
      <c r="I33" s="54">
        <v>3911000</v>
      </c>
      <c r="J33" s="54">
        <v>3911000</v>
      </c>
      <c r="K33" s="54">
        <v>3911000</v>
      </c>
      <c r="L33" s="54">
        <v>3911000</v>
      </c>
      <c r="M33" s="54">
        <v>3911000</v>
      </c>
      <c r="N33" s="54">
        <v>3911000</v>
      </c>
      <c r="O33" s="54">
        <v>3911000</v>
      </c>
      <c r="P33" s="54">
        <v>3911000</v>
      </c>
      <c r="Q33" s="54">
        <v>3911000</v>
      </c>
      <c r="R33" s="54">
        <v>3911000</v>
      </c>
      <c r="S33" s="54">
        <v>3911000</v>
      </c>
      <c r="T33" s="54">
        <v>3911000</v>
      </c>
      <c r="U33" s="54">
        <v>3911000</v>
      </c>
    </row>
    <row r="34" spans="1:21" ht="16.5" thickBot="1">
      <c r="A34" s="7" t="s">
        <v>26</v>
      </c>
      <c r="B34" s="54">
        <f t="shared" ref="B34:U34" si="8">B3+B4+B22+B28+B32+B33</f>
        <v>13110137.220000001</v>
      </c>
      <c r="C34" s="54">
        <f t="shared" si="8"/>
        <v>12048867.16</v>
      </c>
      <c r="D34" s="54">
        <f t="shared" si="8"/>
        <v>10252723.260000002</v>
      </c>
      <c r="E34" s="54">
        <f t="shared" si="8"/>
        <v>11186285.26</v>
      </c>
      <c r="F34" s="54">
        <f t="shared" si="8"/>
        <v>9006938.0599999987</v>
      </c>
      <c r="G34" s="54">
        <f t="shared" si="8"/>
        <v>9006938.0599999987</v>
      </c>
      <c r="H34" s="54">
        <f t="shared" si="8"/>
        <v>9006938.0599999987</v>
      </c>
      <c r="I34" s="54">
        <f t="shared" si="8"/>
        <v>9006938.0599999987</v>
      </c>
      <c r="J34" s="54">
        <f t="shared" si="8"/>
        <v>9006938.0599999987</v>
      </c>
      <c r="K34" s="54">
        <f t="shared" si="8"/>
        <v>9006938.0599999987</v>
      </c>
      <c r="L34" s="54">
        <f t="shared" si="8"/>
        <v>9006938.0599999987</v>
      </c>
      <c r="M34" s="54">
        <f t="shared" si="8"/>
        <v>9006938.0599999987</v>
      </c>
      <c r="N34" s="54">
        <f t="shared" si="8"/>
        <v>9006938.0599999987</v>
      </c>
      <c r="O34" s="54">
        <f t="shared" si="8"/>
        <v>9006938.0599999987</v>
      </c>
      <c r="P34" s="54">
        <f t="shared" si="8"/>
        <v>9006938.0600000005</v>
      </c>
      <c r="Q34" s="54">
        <f t="shared" si="8"/>
        <v>9006938.0600000005</v>
      </c>
      <c r="R34" s="54">
        <f t="shared" si="8"/>
        <v>9006938.0600000005</v>
      </c>
      <c r="S34" s="54">
        <f t="shared" si="8"/>
        <v>9006938.0600000005</v>
      </c>
      <c r="T34" s="54">
        <f t="shared" si="8"/>
        <v>9006938.0600000005</v>
      </c>
      <c r="U34" s="54">
        <f t="shared" si="8"/>
        <v>9006938.0600000005</v>
      </c>
    </row>
    <row r="35" spans="1:21" ht="16.5" thickBot="1">
      <c r="A35" s="60" t="s">
        <v>99</v>
      </c>
      <c r="B35" s="61">
        <f>'Previsione Entrate'!B28</f>
        <v>13110137.219999999</v>
      </c>
      <c r="C35" s="57">
        <f>'Previsione Entrate'!C28</f>
        <v>12048867.16</v>
      </c>
      <c r="D35" s="57">
        <f>'Previsione Entrate'!D28</f>
        <v>10252723.26</v>
      </c>
      <c r="E35" s="57">
        <f>'Previsione Entrate'!E28</f>
        <v>11186285.260000002</v>
      </c>
      <c r="F35" s="57">
        <f>'Previsione Entrate'!F28</f>
        <v>9006938.0600000005</v>
      </c>
      <c r="G35" s="57">
        <f>'Previsione Entrate'!G28</f>
        <v>9006938.0600000005</v>
      </c>
      <c r="H35" s="57">
        <f>'Previsione Entrate'!H28</f>
        <v>9006938.0600000005</v>
      </c>
      <c r="I35" s="57">
        <f>'Previsione Entrate'!I28</f>
        <v>9006938.0600000005</v>
      </c>
      <c r="J35" s="57">
        <f>'Previsione Entrate'!J28</f>
        <v>9006938.0600000005</v>
      </c>
      <c r="K35" s="57">
        <f>'Previsione Entrate'!K28</f>
        <v>9006938.0600000005</v>
      </c>
      <c r="L35" s="57">
        <f>'Previsione Entrate'!L28</f>
        <v>9006938.0600000005</v>
      </c>
      <c r="M35" s="57">
        <f>'Previsione Entrate'!M28</f>
        <v>9006938.0600000005</v>
      </c>
      <c r="N35" s="57">
        <f>'Previsione Entrate'!N28</f>
        <v>8940818.0600000005</v>
      </c>
      <c r="O35" s="57">
        <f>'Previsione Entrate'!O28</f>
        <v>8940818.0600000005</v>
      </c>
      <c r="P35" s="57">
        <f>'Previsione Entrate'!P28</f>
        <v>8940818.0600000005</v>
      </c>
      <c r="Q35" s="57">
        <f>'Previsione Entrate'!Q28</f>
        <v>8940818.0600000005</v>
      </c>
      <c r="R35" s="57">
        <f>'Previsione Entrate'!R28</f>
        <v>8940818.0600000005</v>
      </c>
      <c r="S35" s="57">
        <f>'Previsione Entrate'!S28</f>
        <v>8940818.0600000005</v>
      </c>
      <c r="T35" s="57">
        <f>'Previsione Entrate'!T28</f>
        <v>8940818.0600000005</v>
      </c>
      <c r="U35" s="57">
        <f>'Previsione Entrate'!U28</f>
        <v>8940818.0600000005</v>
      </c>
    </row>
    <row r="36" spans="1:21" ht="16.5" thickBot="1">
      <c r="B36" s="61">
        <f>B35-B34</f>
        <v>0</v>
      </c>
      <c r="C36" s="61">
        <f t="shared" ref="C36:U36" si="9">C35-C34</f>
        <v>0</v>
      </c>
      <c r="D36" s="61">
        <f t="shared" si="9"/>
        <v>0</v>
      </c>
      <c r="E36" s="61">
        <f t="shared" si="9"/>
        <v>0</v>
      </c>
      <c r="F36" s="61">
        <f t="shared" si="9"/>
        <v>0</v>
      </c>
      <c r="G36" s="61">
        <f t="shared" si="9"/>
        <v>0</v>
      </c>
      <c r="H36" s="61">
        <f t="shared" si="9"/>
        <v>0</v>
      </c>
      <c r="I36" s="61">
        <f t="shared" si="9"/>
        <v>0</v>
      </c>
      <c r="J36" s="61">
        <f t="shared" si="9"/>
        <v>0</v>
      </c>
      <c r="K36" s="61">
        <f t="shared" si="9"/>
        <v>0</v>
      </c>
      <c r="L36" s="61">
        <f t="shared" si="9"/>
        <v>0</v>
      </c>
      <c r="M36" s="61">
        <f t="shared" si="9"/>
        <v>0</v>
      </c>
      <c r="N36" s="61">
        <f t="shared" si="9"/>
        <v>-66119.999999998137</v>
      </c>
      <c r="O36" s="61">
        <f t="shared" si="9"/>
        <v>-66119.999999998137</v>
      </c>
      <c r="P36" s="61">
        <f t="shared" si="9"/>
        <v>-66120</v>
      </c>
      <c r="Q36" s="61">
        <f t="shared" si="9"/>
        <v>-66120</v>
      </c>
      <c r="R36" s="61">
        <f t="shared" si="9"/>
        <v>-66120</v>
      </c>
      <c r="S36" s="61">
        <f t="shared" si="9"/>
        <v>-66120</v>
      </c>
      <c r="T36" s="61">
        <f t="shared" si="9"/>
        <v>-66120</v>
      </c>
      <c r="U36" s="61">
        <f t="shared" si="9"/>
        <v>-66120</v>
      </c>
    </row>
  </sheetData>
  <mergeCells count="40">
    <mergeCell ref="U29:U30"/>
    <mergeCell ref="J29:J30"/>
    <mergeCell ref="K29:K30"/>
    <mergeCell ref="L29:L30"/>
    <mergeCell ref="M29:M30"/>
    <mergeCell ref="N29:N30"/>
    <mergeCell ref="O29:O30"/>
    <mergeCell ref="P29:P30"/>
    <mergeCell ref="Q29:Q30"/>
    <mergeCell ref="R29:R30"/>
    <mergeCell ref="S29:S30"/>
    <mergeCell ref="T29:T30"/>
    <mergeCell ref="T23:T24"/>
    <mergeCell ref="U23:U24"/>
    <mergeCell ref="B29:B30"/>
    <mergeCell ref="C29:C30"/>
    <mergeCell ref="D29:D30"/>
    <mergeCell ref="E29:E30"/>
    <mergeCell ref="F29:F30"/>
    <mergeCell ref="G29:G30"/>
    <mergeCell ref="H29:H30"/>
    <mergeCell ref="I29:I30"/>
    <mergeCell ref="N23:N24"/>
    <mergeCell ref="O23:O24"/>
    <mergeCell ref="P23:P24"/>
    <mergeCell ref="Q23:Q24"/>
    <mergeCell ref="R23:R24"/>
    <mergeCell ref="S23:S24"/>
    <mergeCell ref="M23:M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W92"/>
  <sheetViews>
    <sheetView zoomScaleNormal="100" zoomScaleSheetLayoutView="90" workbookViewId="0">
      <selection activeCell="D15" sqref="D15"/>
    </sheetView>
  </sheetViews>
  <sheetFormatPr defaultColWidth="9.125" defaultRowHeight="15"/>
  <cols>
    <col min="1" max="1" width="75.5" style="14" customWidth="1"/>
    <col min="2" max="2" width="6.375" style="12" customWidth="1"/>
    <col min="3" max="3" width="15.125" style="12" customWidth="1"/>
    <col min="4" max="4" width="17.375" style="11" customWidth="1"/>
    <col min="5" max="5" width="16.5" style="11" customWidth="1"/>
    <col min="6" max="23" width="15.125" style="11" customWidth="1"/>
    <col min="24" max="256" width="9.125" style="11"/>
    <col min="257" max="257" width="75.5" style="11" customWidth="1"/>
    <col min="258" max="259" width="6.375" style="11" customWidth="1"/>
    <col min="260" max="260" width="17.375" style="11" customWidth="1"/>
    <col min="261" max="261" width="16.5" style="11" customWidth="1"/>
    <col min="262" max="262" width="15.125" style="11" customWidth="1"/>
    <col min="263" max="512" width="9.125" style="11"/>
    <col min="513" max="513" width="75.5" style="11" customWidth="1"/>
    <col min="514" max="515" width="6.375" style="11" customWidth="1"/>
    <col min="516" max="516" width="17.375" style="11" customWidth="1"/>
    <col min="517" max="517" width="16.5" style="11" customWidth="1"/>
    <col min="518" max="518" width="15.125" style="11" customWidth="1"/>
    <col min="519" max="768" width="9.125" style="11"/>
    <col min="769" max="769" width="75.5" style="11" customWidth="1"/>
    <col min="770" max="771" width="6.375" style="11" customWidth="1"/>
    <col min="772" max="772" width="17.375" style="11" customWidth="1"/>
    <col min="773" max="773" width="16.5" style="11" customWidth="1"/>
    <col min="774" max="774" width="15.125" style="11" customWidth="1"/>
    <col min="775" max="1024" width="9.125" style="11"/>
    <col min="1025" max="1025" width="75.5" style="11" customWidth="1"/>
    <col min="1026" max="1027" width="6.375" style="11" customWidth="1"/>
    <col min="1028" max="1028" width="17.375" style="11" customWidth="1"/>
    <col min="1029" max="1029" width="16.5" style="11" customWidth="1"/>
    <col min="1030" max="1030" width="15.125" style="11" customWidth="1"/>
    <col min="1031" max="1280" width="9.125" style="11"/>
    <col min="1281" max="1281" width="75.5" style="11" customWidth="1"/>
    <col min="1282" max="1283" width="6.375" style="11" customWidth="1"/>
    <col min="1284" max="1284" width="17.375" style="11" customWidth="1"/>
    <col min="1285" max="1285" width="16.5" style="11" customWidth="1"/>
    <col min="1286" max="1286" width="15.125" style="11" customWidth="1"/>
    <col min="1287" max="1536" width="9.125" style="11"/>
    <col min="1537" max="1537" width="75.5" style="11" customWidth="1"/>
    <col min="1538" max="1539" width="6.375" style="11" customWidth="1"/>
    <col min="1540" max="1540" width="17.375" style="11" customWidth="1"/>
    <col min="1541" max="1541" width="16.5" style="11" customWidth="1"/>
    <col min="1542" max="1542" width="15.125" style="11" customWidth="1"/>
    <col min="1543" max="1792" width="9.125" style="11"/>
    <col min="1793" max="1793" width="75.5" style="11" customWidth="1"/>
    <col min="1794" max="1795" width="6.375" style="11" customWidth="1"/>
    <col min="1796" max="1796" width="17.375" style="11" customWidth="1"/>
    <col min="1797" max="1797" width="16.5" style="11" customWidth="1"/>
    <col min="1798" max="1798" width="15.125" style="11" customWidth="1"/>
    <col min="1799" max="2048" width="9.125" style="11"/>
    <col min="2049" max="2049" width="75.5" style="11" customWidth="1"/>
    <col min="2050" max="2051" width="6.375" style="11" customWidth="1"/>
    <col min="2052" max="2052" width="17.375" style="11" customWidth="1"/>
    <col min="2053" max="2053" width="16.5" style="11" customWidth="1"/>
    <col min="2054" max="2054" width="15.125" style="11" customWidth="1"/>
    <col min="2055" max="2304" width="9.125" style="11"/>
    <col min="2305" max="2305" width="75.5" style="11" customWidth="1"/>
    <col min="2306" max="2307" width="6.375" style="11" customWidth="1"/>
    <col min="2308" max="2308" width="17.375" style="11" customWidth="1"/>
    <col min="2309" max="2309" width="16.5" style="11" customWidth="1"/>
    <col min="2310" max="2310" width="15.125" style="11" customWidth="1"/>
    <col min="2311" max="2560" width="9.125" style="11"/>
    <col min="2561" max="2561" width="75.5" style="11" customWidth="1"/>
    <col min="2562" max="2563" width="6.375" style="11" customWidth="1"/>
    <col min="2564" max="2564" width="17.375" style="11" customWidth="1"/>
    <col min="2565" max="2565" width="16.5" style="11" customWidth="1"/>
    <col min="2566" max="2566" width="15.125" style="11" customWidth="1"/>
    <col min="2567" max="2816" width="9.125" style="11"/>
    <col min="2817" max="2817" width="75.5" style="11" customWidth="1"/>
    <col min="2818" max="2819" width="6.375" style="11" customWidth="1"/>
    <col min="2820" max="2820" width="17.375" style="11" customWidth="1"/>
    <col min="2821" max="2821" width="16.5" style="11" customWidth="1"/>
    <col min="2822" max="2822" width="15.125" style="11" customWidth="1"/>
    <col min="2823" max="3072" width="9.125" style="11"/>
    <col min="3073" max="3073" width="75.5" style="11" customWidth="1"/>
    <col min="3074" max="3075" width="6.375" style="11" customWidth="1"/>
    <col min="3076" max="3076" width="17.375" style="11" customWidth="1"/>
    <col min="3077" max="3077" width="16.5" style="11" customWidth="1"/>
    <col min="3078" max="3078" width="15.125" style="11" customWidth="1"/>
    <col min="3079" max="3328" width="9.125" style="11"/>
    <col min="3329" max="3329" width="75.5" style="11" customWidth="1"/>
    <col min="3330" max="3331" width="6.375" style="11" customWidth="1"/>
    <col min="3332" max="3332" width="17.375" style="11" customWidth="1"/>
    <col min="3333" max="3333" width="16.5" style="11" customWidth="1"/>
    <col min="3334" max="3334" width="15.125" style="11" customWidth="1"/>
    <col min="3335" max="3584" width="9.125" style="11"/>
    <col min="3585" max="3585" width="75.5" style="11" customWidth="1"/>
    <col min="3586" max="3587" width="6.375" style="11" customWidth="1"/>
    <col min="3588" max="3588" width="17.375" style="11" customWidth="1"/>
    <col min="3589" max="3589" width="16.5" style="11" customWidth="1"/>
    <col min="3590" max="3590" width="15.125" style="11" customWidth="1"/>
    <col min="3591" max="3840" width="9.125" style="11"/>
    <col min="3841" max="3841" width="75.5" style="11" customWidth="1"/>
    <col min="3842" max="3843" width="6.375" style="11" customWidth="1"/>
    <col min="3844" max="3844" width="17.375" style="11" customWidth="1"/>
    <col min="3845" max="3845" width="16.5" style="11" customWidth="1"/>
    <col min="3846" max="3846" width="15.125" style="11" customWidth="1"/>
    <col min="3847" max="4096" width="9.125" style="11"/>
    <col min="4097" max="4097" width="75.5" style="11" customWidth="1"/>
    <col min="4098" max="4099" width="6.375" style="11" customWidth="1"/>
    <col min="4100" max="4100" width="17.375" style="11" customWidth="1"/>
    <col min="4101" max="4101" width="16.5" style="11" customWidth="1"/>
    <col min="4102" max="4102" width="15.125" style="11" customWidth="1"/>
    <col min="4103" max="4352" width="9.125" style="11"/>
    <col min="4353" max="4353" width="75.5" style="11" customWidth="1"/>
    <col min="4354" max="4355" width="6.375" style="11" customWidth="1"/>
    <col min="4356" max="4356" width="17.375" style="11" customWidth="1"/>
    <col min="4357" max="4357" width="16.5" style="11" customWidth="1"/>
    <col min="4358" max="4358" width="15.125" style="11" customWidth="1"/>
    <col min="4359" max="4608" width="9.125" style="11"/>
    <col min="4609" max="4609" width="75.5" style="11" customWidth="1"/>
    <col min="4610" max="4611" width="6.375" style="11" customWidth="1"/>
    <col min="4612" max="4612" width="17.375" style="11" customWidth="1"/>
    <col min="4613" max="4613" width="16.5" style="11" customWidth="1"/>
    <col min="4614" max="4614" width="15.125" style="11" customWidth="1"/>
    <col min="4615" max="4864" width="9.125" style="11"/>
    <col min="4865" max="4865" width="75.5" style="11" customWidth="1"/>
    <col min="4866" max="4867" width="6.375" style="11" customWidth="1"/>
    <col min="4868" max="4868" width="17.375" style="11" customWidth="1"/>
    <col min="4869" max="4869" width="16.5" style="11" customWidth="1"/>
    <col min="4870" max="4870" width="15.125" style="11" customWidth="1"/>
    <col min="4871" max="5120" width="9.125" style="11"/>
    <col min="5121" max="5121" width="75.5" style="11" customWidth="1"/>
    <col min="5122" max="5123" width="6.375" style="11" customWidth="1"/>
    <col min="5124" max="5124" width="17.375" style="11" customWidth="1"/>
    <col min="5125" max="5125" width="16.5" style="11" customWidth="1"/>
    <col min="5126" max="5126" width="15.125" style="11" customWidth="1"/>
    <col min="5127" max="5376" width="9.125" style="11"/>
    <col min="5377" max="5377" width="75.5" style="11" customWidth="1"/>
    <col min="5378" max="5379" width="6.375" style="11" customWidth="1"/>
    <col min="5380" max="5380" width="17.375" style="11" customWidth="1"/>
    <col min="5381" max="5381" width="16.5" style="11" customWidth="1"/>
    <col min="5382" max="5382" width="15.125" style="11" customWidth="1"/>
    <col min="5383" max="5632" width="9.125" style="11"/>
    <col min="5633" max="5633" width="75.5" style="11" customWidth="1"/>
    <col min="5634" max="5635" width="6.375" style="11" customWidth="1"/>
    <col min="5636" max="5636" width="17.375" style="11" customWidth="1"/>
    <col min="5637" max="5637" width="16.5" style="11" customWidth="1"/>
    <col min="5638" max="5638" width="15.125" style="11" customWidth="1"/>
    <col min="5639" max="5888" width="9.125" style="11"/>
    <col min="5889" max="5889" width="75.5" style="11" customWidth="1"/>
    <col min="5890" max="5891" width="6.375" style="11" customWidth="1"/>
    <col min="5892" max="5892" width="17.375" style="11" customWidth="1"/>
    <col min="5893" max="5893" width="16.5" style="11" customWidth="1"/>
    <col min="5894" max="5894" width="15.125" style="11" customWidth="1"/>
    <col min="5895" max="6144" width="9.125" style="11"/>
    <col min="6145" max="6145" width="75.5" style="11" customWidth="1"/>
    <col min="6146" max="6147" width="6.375" style="11" customWidth="1"/>
    <col min="6148" max="6148" width="17.375" style="11" customWidth="1"/>
    <col min="6149" max="6149" width="16.5" style="11" customWidth="1"/>
    <col min="6150" max="6150" width="15.125" style="11" customWidth="1"/>
    <col min="6151" max="6400" width="9.125" style="11"/>
    <col min="6401" max="6401" width="75.5" style="11" customWidth="1"/>
    <col min="6402" max="6403" width="6.375" style="11" customWidth="1"/>
    <col min="6404" max="6404" width="17.375" style="11" customWidth="1"/>
    <col min="6405" max="6405" width="16.5" style="11" customWidth="1"/>
    <col min="6406" max="6406" width="15.125" style="11" customWidth="1"/>
    <col min="6407" max="6656" width="9.125" style="11"/>
    <col min="6657" max="6657" width="75.5" style="11" customWidth="1"/>
    <col min="6658" max="6659" width="6.375" style="11" customWidth="1"/>
    <col min="6660" max="6660" width="17.375" style="11" customWidth="1"/>
    <col min="6661" max="6661" width="16.5" style="11" customWidth="1"/>
    <col min="6662" max="6662" width="15.125" style="11" customWidth="1"/>
    <col min="6663" max="6912" width="9.125" style="11"/>
    <col min="6913" max="6913" width="75.5" style="11" customWidth="1"/>
    <col min="6914" max="6915" width="6.375" style="11" customWidth="1"/>
    <col min="6916" max="6916" width="17.375" style="11" customWidth="1"/>
    <col min="6917" max="6917" width="16.5" style="11" customWidth="1"/>
    <col min="6918" max="6918" width="15.125" style="11" customWidth="1"/>
    <col min="6919" max="7168" width="9.125" style="11"/>
    <col min="7169" max="7169" width="75.5" style="11" customWidth="1"/>
    <col min="7170" max="7171" width="6.375" style="11" customWidth="1"/>
    <col min="7172" max="7172" width="17.375" style="11" customWidth="1"/>
    <col min="7173" max="7173" width="16.5" style="11" customWidth="1"/>
    <col min="7174" max="7174" width="15.125" style="11" customWidth="1"/>
    <col min="7175" max="7424" width="9.125" style="11"/>
    <col min="7425" max="7425" width="75.5" style="11" customWidth="1"/>
    <col min="7426" max="7427" width="6.375" style="11" customWidth="1"/>
    <col min="7428" max="7428" width="17.375" style="11" customWidth="1"/>
    <col min="7429" max="7429" width="16.5" style="11" customWidth="1"/>
    <col min="7430" max="7430" width="15.125" style="11" customWidth="1"/>
    <col min="7431" max="7680" width="9.125" style="11"/>
    <col min="7681" max="7681" width="75.5" style="11" customWidth="1"/>
    <col min="7682" max="7683" width="6.375" style="11" customWidth="1"/>
    <col min="7684" max="7684" width="17.375" style="11" customWidth="1"/>
    <col min="7685" max="7685" width="16.5" style="11" customWidth="1"/>
    <col min="7686" max="7686" width="15.125" style="11" customWidth="1"/>
    <col min="7687" max="7936" width="9.125" style="11"/>
    <col min="7937" max="7937" width="75.5" style="11" customWidth="1"/>
    <col min="7938" max="7939" width="6.375" style="11" customWidth="1"/>
    <col min="7940" max="7940" width="17.375" style="11" customWidth="1"/>
    <col min="7941" max="7941" width="16.5" style="11" customWidth="1"/>
    <col min="7942" max="7942" width="15.125" style="11" customWidth="1"/>
    <col min="7943" max="8192" width="9.125" style="11"/>
    <col min="8193" max="8193" width="75.5" style="11" customWidth="1"/>
    <col min="8194" max="8195" width="6.375" style="11" customWidth="1"/>
    <col min="8196" max="8196" width="17.375" style="11" customWidth="1"/>
    <col min="8197" max="8197" width="16.5" style="11" customWidth="1"/>
    <col min="8198" max="8198" width="15.125" style="11" customWidth="1"/>
    <col min="8199" max="8448" width="9.125" style="11"/>
    <col min="8449" max="8449" width="75.5" style="11" customWidth="1"/>
    <col min="8450" max="8451" width="6.375" style="11" customWidth="1"/>
    <col min="8452" max="8452" width="17.375" style="11" customWidth="1"/>
    <col min="8453" max="8453" width="16.5" style="11" customWidth="1"/>
    <col min="8454" max="8454" width="15.125" style="11" customWidth="1"/>
    <col min="8455" max="8704" width="9.125" style="11"/>
    <col min="8705" max="8705" width="75.5" style="11" customWidth="1"/>
    <col min="8706" max="8707" width="6.375" style="11" customWidth="1"/>
    <col min="8708" max="8708" width="17.375" style="11" customWidth="1"/>
    <col min="8709" max="8709" width="16.5" style="11" customWidth="1"/>
    <col min="8710" max="8710" width="15.125" style="11" customWidth="1"/>
    <col min="8711" max="8960" width="9.125" style="11"/>
    <col min="8961" max="8961" width="75.5" style="11" customWidth="1"/>
    <col min="8962" max="8963" width="6.375" style="11" customWidth="1"/>
    <col min="8964" max="8964" width="17.375" style="11" customWidth="1"/>
    <col min="8965" max="8965" width="16.5" style="11" customWidth="1"/>
    <col min="8966" max="8966" width="15.125" style="11" customWidth="1"/>
    <col min="8967" max="9216" width="9.125" style="11"/>
    <col min="9217" max="9217" width="75.5" style="11" customWidth="1"/>
    <col min="9218" max="9219" width="6.375" style="11" customWidth="1"/>
    <col min="9220" max="9220" width="17.375" style="11" customWidth="1"/>
    <col min="9221" max="9221" width="16.5" style="11" customWidth="1"/>
    <col min="9222" max="9222" width="15.125" style="11" customWidth="1"/>
    <col min="9223" max="9472" width="9.125" style="11"/>
    <col min="9473" max="9473" width="75.5" style="11" customWidth="1"/>
    <col min="9474" max="9475" width="6.375" style="11" customWidth="1"/>
    <col min="9476" max="9476" width="17.375" style="11" customWidth="1"/>
    <col min="9477" max="9477" width="16.5" style="11" customWidth="1"/>
    <col min="9478" max="9478" width="15.125" style="11" customWidth="1"/>
    <col min="9479" max="9728" width="9.125" style="11"/>
    <col min="9729" max="9729" width="75.5" style="11" customWidth="1"/>
    <col min="9730" max="9731" width="6.375" style="11" customWidth="1"/>
    <col min="9732" max="9732" width="17.375" style="11" customWidth="1"/>
    <col min="9733" max="9733" width="16.5" style="11" customWidth="1"/>
    <col min="9734" max="9734" width="15.125" style="11" customWidth="1"/>
    <col min="9735" max="9984" width="9.125" style="11"/>
    <col min="9985" max="9985" width="75.5" style="11" customWidth="1"/>
    <col min="9986" max="9987" width="6.375" style="11" customWidth="1"/>
    <col min="9988" max="9988" width="17.375" style="11" customWidth="1"/>
    <col min="9989" max="9989" width="16.5" style="11" customWidth="1"/>
    <col min="9990" max="9990" width="15.125" style="11" customWidth="1"/>
    <col min="9991" max="10240" width="9.125" style="11"/>
    <col min="10241" max="10241" width="75.5" style="11" customWidth="1"/>
    <col min="10242" max="10243" width="6.375" style="11" customWidth="1"/>
    <col min="10244" max="10244" width="17.375" style="11" customWidth="1"/>
    <col min="10245" max="10245" width="16.5" style="11" customWidth="1"/>
    <col min="10246" max="10246" width="15.125" style="11" customWidth="1"/>
    <col min="10247" max="10496" width="9.125" style="11"/>
    <col min="10497" max="10497" width="75.5" style="11" customWidth="1"/>
    <col min="10498" max="10499" width="6.375" style="11" customWidth="1"/>
    <col min="10500" max="10500" width="17.375" style="11" customWidth="1"/>
    <col min="10501" max="10501" width="16.5" style="11" customWidth="1"/>
    <col min="10502" max="10502" width="15.125" style="11" customWidth="1"/>
    <col min="10503" max="10752" width="9.125" style="11"/>
    <col min="10753" max="10753" width="75.5" style="11" customWidth="1"/>
    <col min="10754" max="10755" width="6.375" style="11" customWidth="1"/>
    <col min="10756" max="10756" width="17.375" style="11" customWidth="1"/>
    <col min="10757" max="10757" width="16.5" style="11" customWidth="1"/>
    <col min="10758" max="10758" width="15.125" style="11" customWidth="1"/>
    <col min="10759" max="11008" width="9.125" style="11"/>
    <col min="11009" max="11009" width="75.5" style="11" customWidth="1"/>
    <col min="11010" max="11011" width="6.375" style="11" customWidth="1"/>
    <col min="11012" max="11012" width="17.375" style="11" customWidth="1"/>
    <col min="11013" max="11013" width="16.5" style="11" customWidth="1"/>
    <col min="11014" max="11014" width="15.125" style="11" customWidth="1"/>
    <col min="11015" max="11264" width="9.125" style="11"/>
    <col min="11265" max="11265" width="75.5" style="11" customWidth="1"/>
    <col min="11266" max="11267" width="6.375" style="11" customWidth="1"/>
    <col min="11268" max="11268" width="17.375" style="11" customWidth="1"/>
    <col min="11269" max="11269" width="16.5" style="11" customWidth="1"/>
    <col min="11270" max="11270" width="15.125" style="11" customWidth="1"/>
    <col min="11271" max="11520" width="9.125" style="11"/>
    <col min="11521" max="11521" width="75.5" style="11" customWidth="1"/>
    <col min="11522" max="11523" width="6.375" style="11" customWidth="1"/>
    <col min="11524" max="11524" width="17.375" style="11" customWidth="1"/>
    <col min="11525" max="11525" width="16.5" style="11" customWidth="1"/>
    <col min="11526" max="11526" width="15.125" style="11" customWidth="1"/>
    <col min="11527" max="11776" width="9.125" style="11"/>
    <col min="11777" max="11777" width="75.5" style="11" customWidth="1"/>
    <col min="11778" max="11779" width="6.375" style="11" customWidth="1"/>
    <col min="11780" max="11780" width="17.375" style="11" customWidth="1"/>
    <col min="11781" max="11781" width="16.5" style="11" customWidth="1"/>
    <col min="11782" max="11782" width="15.125" style="11" customWidth="1"/>
    <col min="11783" max="12032" width="9.125" style="11"/>
    <col min="12033" max="12033" width="75.5" style="11" customWidth="1"/>
    <col min="12034" max="12035" width="6.375" style="11" customWidth="1"/>
    <col min="12036" max="12036" width="17.375" style="11" customWidth="1"/>
    <col min="12037" max="12037" width="16.5" style="11" customWidth="1"/>
    <col min="12038" max="12038" width="15.125" style="11" customWidth="1"/>
    <col min="12039" max="12288" width="9.125" style="11"/>
    <col min="12289" max="12289" width="75.5" style="11" customWidth="1"/>
    <col min="12290" max="12291" width="6.375" style="11" customWidth="1"/>
    <col min="12292" max="12292" width="17.375" style="11" customWidth="1"/>
    <col min="12293" max="12293" width="16.5" style="11" customWidth="1"/>
    <col min="12294" max="12294" width="15.125" style="11" customWidth="1"/>
    <col min="12295" max="12544" width="9.125" style="11"/>
    <col min="12545" max="12545" width="75.5" style="11" customWidth="1"/>
    <col min="12546" max="12547" width="6.375" style="11" customWidth="1"/>
    <col min="12548" max="12548" width="17.375" style="11" customWidth="1"/>
    <col min="12549" max="12549" width="16.5" style="11" customWidth="1"/>
    <col min="12550" max="12550" width="15.125" style="11" customWidth="1"/>
    <col min="12551" max="12800" width="9.125" style="11"/>
    <col min="12801" max="12801" width="75.5" style="11" customWidth="1"/>
    <col min="12802" max="12803" width="6.375" style="11" customWidth="1"/>
    <col min="12804" max="12804" width="17.375" style="11" customWidth="1"/>
    <col min="12805" max="12805" width="16.5" style="11" customWidth="1"/>
    <col min="12806" max="12806" width="15.125" style="11" customWidth="1"/>
    <col min="12807" max="13056" width="9.125" style="11"/>
    <col min="13057" max="13057" width="75.5" style="11" customWidth="1"/>
    <col min="13058" max="13059" width="6.375" style="11" customWidth="1"/>
    <col min="13060" max="13060" width="17.375" style="11" customWidth="1"/>
    <col min="13061" max="13061" width="16.5" style="11" customWidth="1"/>
    <col min="13062" max="13062" width="15.125" style="11" customWidth="1"/>
    <col min="13063" max="13312" width="9.125" style="11"/>
    <col min="13313" max="13313" width="75.5" style="11" customWidth="1"/>
    <col min="13314" max="13315" width="6.375" style="11" customWidth="1"/>
    <col min="13316" max="13316" width="17.375" style="11" customWidth="1"/>
    <col min="13317" max="13317" width="16.5" style="11" customWidth="1"/>
    <col min="13318" max="13318" width="15.125" style="11" customWidth="1"/>
    <col min="13319" max="13568" width="9.125" style="11"/>
    <col min="13569" max="13569" width="75.5" style="11" customWidth="1"/>
    <col min="13570" max="13571" width="6.375" style="11" customWidth="1"/>
    <col min="13572" max="13572" width="17.375" style="11" customWidth="1"/>
    <col min="13573" max="13573" width="16.5" style="11" customWidth="1"/>
    <col min="13574" max="13574" width="15.125" style="11" customWidth="1"/>
    <col min="13575" max="13824" width="9.125" style="11"/>
    <col min="13825" max="13825" width="75.5" style="11" customWidth="1"/>
    <col min="13826" max="13827" width="6.375" style="11" customWidth="1"/>
    <col min="13828" max="13828" width="17.375" style="11" customWidth="1"/>
    <col min="13829" max="13829" width="16.5" style="11" customWidth="1"/>
    <col min="13830" max="13830" width="15.125" style="11" customWidth="1"/>
    <col min="13831" max="14080" width="9.125" style="11"/>
    <col min="14081" max="14081" width="75.5" style="11" customWidth="1"/>
    <col min="14082" max="14083" width="6.375" style="11" customWidth="1"/>
    <col min="14084" max="14084" width="17.375" style="11" customWidth="1"/>
    <col min="14085" max="14085" width="16.5" style="11" customWidth="1"/>
    <col min="14086" max="14086" width="15.125" style="11" customWidth="1"/>
    <col min="14087" max="14336" width="9.125" style="11"/>
    <col min="14337" max="14337" width="75.5" style="11" customWidth="1"/>
    <col min="14338" max="14339" width="6.375" style="11" customWidth="1"/>
    <col min="14340" max="14340" width="17.375" style="11" customWidth="1"/>
    <col min="14341" max="14341" width="16.5" style="11" customWidth="1"/>
    <col min="14342" max="14342" width="15.125" style="11" customWidth="1"/>
    <col min="14343" max="14592" width="9.125" style="11"/>
    <col min="14593" max="14593" width="75.5" style="11" customWidth="1"/>
    <col min="14594" max="14595" width="6.375" style="11" customWidth="1"/>
    <col min="14596" max="14596" width="17.375" style="11" customWidth="1"/>
    <col min="14597" max="14597" width="16.5" style="11" customWidth="1"/>
    <col min="14598" max="14598" width="15.125" style="11" customWidth="1"/>
    <col min="14599" max="14848" width="9.125" style="11"/>
    <col min="14849" max="14849" width="75.5" style="11" customWidth="1"/>
    <col min="14850" max="14851" width="6.375" style="11" customWidth="1"/>
    <col min="14852" max="14852" width="17.375" style="11" customWidth="1"/>
    <col min="14853" max="14853" width="16.5" style="11" customWidth="1"/>
    <col min="14854" max="14854" width="15.125" style="11" customWidth="1"/>
    <col min="14855" max="15104" width="9.125" style="11"/>
    <col min="15105" max="15105" width="75.5" style="11" customWidth="1"/>
    <col min="15106" max="15107" width="6.375" style="11" customWidth="1"/>
    <col min="15108" max="15108" width="17.375" style="11" customWidth="1"/>
    <col min="15109" max="15109" width="16.5" style="11" customWidth="1"/>
    <col min="15110" max="15110" width="15.125" style="11" customWidth="1"/>
    <col min="15111" max="15360" width="9.125" style="11"/>
    <col min="15361" max="15361" width="75.5" style="11" customWidth="1"/>
    <col min="15362" max="15363" width="6.375" style="11" customWidth="1"/>
    <col min="15364" max="15364" width="17.375" style="11" customWidth="1"/>
    <col min="15365" max="15365" width="16.5" style="11" customWidth="1"/>
    <col min="15366" max="15366" width="15.125" style="11" customWidth="1"/>
    <col min="15367" max="15616" width="9.125" style="11"/>
    <col min="15617" max="15617" width="75.5" style="11" customWidth="1"/>
    <col min="15618" max="15619" width="6.375" style="11" customWidth="1"/>
    <col min="15620" max="15620" width="17.375" style="11" customWidth="1"/>
    <col min="15621" max="15621" width="16.5" style="11" customWidth="1"/>
    <col min="15622" max="15622" width="15.125" style="11" customWidth="1"/>
    <col min="15623" max="15872" width="9.125" style="11"/>
    <col min="15873" max="15873" width="75.5" style="11" customWidth="1"/>
    <col min="15874" max="15875" width="6.375" style="11" customWidth="1"/>
    <col min="15876" max="15876" width="17.375" style="11" customWidth="1"/>
    <col min="15877" max="15877" width="16.5" style="11" customWidth="1"/>
    <col min="15878" max="15878" width="15.125" style="11" customWidth="1"/>
    <col min="15879" max="16128" width="9.125" style="11"/>
    <col min="16129" max="16129" width="75.5" style="11" customWidth="1"/>
    <col min="16130" max="16131" width="6.375" style="11" customWidth="1"/>
    <col min="16132" max="16132" width="17.375" style="11" customWidth="1"/>
    <col min="16133" max="16133" width="16.5" style="11" customWidth="1"/>
    <col min="16134" max="16134" width="15.125" style="11" customWidth="1"/>
    <col min="16135" max="16384" width="9.125" style="11"/>
  </cols>
  <sheetData>
    <row r="1" spans="1:23" ht="15.75" thickTop="1">
      <c r="A1" s="139" t="s">
        <v>59</v>
      </c>
      <c r="B1" s="140"/>
      <c r="C1" s="13"/>
      <c r="D1" s="13">
        <v>2024</v>
      </c>
      <c r="E1" s="13">
        <f>D1+1</f>
        <v>2025</v>
      </c>
      <c r="F1" s="13">
        <f t="shared" ref="F1:L1" si="0">E1+1</f>
        <v>2026</v>
      </c>
      <c r="G1" s="13">
        <f t="shared" si="0"/>
        <v>2027</v>
      </c>
      <c r="H1" s="13">
        <f t="shared" si="0"/>
        <v>2028</v>
      </c>
      <c r="I1" s="13">
        <f t="shared" si="0"/>
        <v>2029</v>
      </c>
      <c r="J1" s="13">
        <f t="shared" si="0"/>
        <v>2030</v>
      </c>
      <c r="K1" s="13">
        <f t="shared" si="0"/>
        <v>2031</v>
      </c>
      <c r="L1" s="13">
        <f t="shared" si="0"/>
        <v>2032</v>
      </c>
      <c r="M1" s="13">
        <f>L1+1</f>
        <v>2033</v>
      </c>
      <c r="N1" s="13">
        <f t="shared" ref="N1:W1" si="1">M1+1</f>
        <v>2034</v>
      </c>
      <c r="O1" s="13">
        <f t="shared" si="1"/>
        <v>2035</v>
      </c>
      <c r="P1" s="13">
        <f t="shared" si="1"/>
        <v>2036</v>
      </c>
      <c r="Q1" s="13">
        <f t="shared" si="1"/>
        <v>2037</v>
      </c>
      <c r="R1" s="13">
        <f t="shared" si="1"/>
        <v>2038</v>
      </c>
      <c r="S1" s="13">
        <f t="shared" si="1"/>
        <v>2039</v>
      </c>
      <c r="T1" s="13">
        <f t="shared" si="1"/>
        <v>2040</v>
      </c>
      <c r="U1" s="13">
        <f t="shared" si="1"/>
        <v>2041</v>
      </c>
      <c r="V1" s="13">
        <f t="shared" si="1"/>
        <v>2042</v>
      </c>
      <c r="W1" s="13">
        <f t="shared" si="1"/>
        <v>2043</v>
      </c>
    </row>
    <row r="2" spans="1:23">
      <c r="A2" s="15"/>
      <c r="B2" s="16"/>
      <c r="C2" s="17"/>
      <c r="D2" s="18"/>
      <c r="E2" s="18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</row>
    <row r="3" spans="1:23">
      <c r="A3" s="20" t="s">
        <v>60</v>
      </c>
      <c r="B3" s="21"/>
      <c r="C3" s="22">
        <v>1449764.95</v>
      </c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3">
      <c r="A4" s="25"/>
      <c r="B4" s="16"/>
      <c r="C4" s="26"/>
      <c r="D4" s="18"/>
      <c r="E4" s="18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3">
      <c r="A5" s="27" t="s">
        <v>83</v>
      </c>
      <c r="B5" s="28" t="s">
        <v>61</v>
      </c>
      <c r="C5" s="29"/>
      <c r="D5" s="28">
        <v>77072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>
      <c r="A6" s="27"/>
      <c r="B6" s="28"/>
      <c r="C6" s="29"/>
      <c r="D6" s="28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</row>
    <row r="7" spans="1:23">
      <c r="A7" s="32" t="s">
        <v>62</v>
      </c>
      <c r="B7" s="28" t="s">
        <v>63</v>
      </c>
      <c r="C7" s="29"/>
      <c r="D7" s="28">
        <v>101420.36</v>
      </c>
      <c r="E7" s="28">
        <v>474981.36</v>
      </c>
      <c r="F7" s="30">
        <v>474981.36</v>
      </c>
      <c r="G7" s="30">
        <v>474290.56</v>
      </c>
      <c r="H7" s="30">
        <v>474290.56</v>
      </c>
      <c r="I7" s="30">
        <v>474290.56</v>
      </c>
      <c r="J7" s="30">
        <v>474290.56</v>
      </c>
      <c r="K7" s="30">
        <v>474290.56</v>
      </c>
      <c r="L7" s="30">
        <v>474290.56</v>
      </c>
      <c r="M7" s="30">
        <v>474290.56</v>
      </c>
      <c r="N7" s="30">
        <v>474290.56</v>
      </c>
      <c r="O7" s="30">
        <v>474290.56</v>
      </c>
      <c r="P7" s="30">
        <v>474290.56</v>
      </c>
      <c r="Q7" s="30">
        <v>474290.56</v>
      </c>
      <c r="R7" s="30">
        <f>'Hp Ripiano Coperture'!Q2+'Hp Ripiano Coperture'!Q3</f>
        <v>456661.04</v>
      </c>
      <c r="S7" s="30">
        <f>'Hp Ripiano Coperture'!R2</f>
        <v>74981.36</v>
      </c>
      <c r="T7" s="30">
        <v>74981.36</v>
      </c>
      <c r="U7" s="30">
        <v>74981.36</v>
      </c>
      <c r="V7" s="30">
        <v>74981.36</v>
      </c>
      <c r="W7" s="30">
        <v>74981.36</v>
      </c>
    </row>
    <row r="8" spans="1:23">
      <c r="A8" s="27"/>
      <c r="B8" s="28"/>
      <c r="C8" s="29"/>
      <c r="D8" s="28"/>
      <c r="E8" s="31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</row>
    <row r="9" spans="1:23">
      <c r="A9" s="27" t="s">
        <v>64</v>
      </c>
      <c r="B9" s="28" t="s">
        <v>61</v>
      </c>
      <c r="C9" s="29"/>
      <c r="D9" s="28">
        <v>3892812.84</v>
      </c>
      <c r="E9" s="28">
        <v>5062319.96</v>
      </c>
      <c r="F9" s="28">
        <v>4847376.0599999996</v>
      </c>
      <c r="G9" s="28">
        <v>5780938.0599999996</v>
      </c>
      <c r="H9" s="28">
        <f>5780938.06-850000</f>
        <v>4930938.0599999996</v>
      </c>
      <c r="I9" s="28">
        <f t="shared" ref="I9:W9" si="2">5780938.06-850000</f>
        <v>4930938.0599999996</v>
      </c>
      <c r="J9" s="28">
        <f t="shared" si="2"/>
        <v>4930938.0599999996</v>
      </c>
      <c r="K9" s="28">
        <f t="shared" si="2"/>
        <v>4930938.0599999996</v>
      </c>
      <c r="L9" s="28">
        <f t="shared" si="2"/>
        <v>4930938.0599999996</v>
      </c>
      <c r="M9" s="28">
        <f t="shared" si="2"/>
        <v>4930938.0599999996</v>
      </c>
      <c r="N9" s="28">
        <f t="shared" si="2"/>
        <v>4930938.0599999996</v>
      </c>
      <c r="O9" s="28">
        <f t="shared" si="2"/>
        <v>4930938.0599999996</v>
      </c>
      <c r="P9" s="28">
        <f t="shared" si="2"/>
        <v>4930938.0599999996</v>
      </c>
      <c r="Q9" s="28">
        <f t="shared" si="2"/>
        <v>4930938.0599999996</v>
      </c>
      <c r="R9" s="28">
        <f t="shared" si="2"/>
        <v>4930938.0599999996</v>
      </c>
      <c r="S9" s="28">
        <f t="shared" si="2"/>
        <v>4930938.0599999996</v>
      </c>
      <c r="T9" s="28">
        <f t="shared" si="2"/>
        <v>4930938.0599999996</v>
      </c>
      <c r="U9" s="28">
        <f t="shared" si="2"/>
        <v>4930938.0599999996</v>
      </c>
      <c r="V9" s="28">
        <f t="shared" si="2"/>
        <v>4930938.0599999996</v>
      </c>
      <c r="W9" s="28">
        <f t="shared" si="2"/>
        <v>4930938.0599999996</v>
      </c>
    </row>
    <row r="10" spans="1:23">
      <c r="A10" s="33" t="s">
        <v>65</v>
      </c>
      <c r="B10" s="28"/>
      <c r="C10" s="29"/>
      <c r="D10" s="34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</row>
    <row r="11" spans="1:23">
      <c r="A11" s="27"/>
      <c r="B11" s="28"/>
      <c r="C11" s="29"/>
      <c r="D11" s="28"/>
      <c r="E11" s="28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</row>
    <row r="12" spans="1:23" ht="30">
      <c r="A12" s="32" t="s">
        <v>66</v>
      </c>
      <c r="B12" s="28" t="s">
        <v>61</v>
      </c>
      <c r="C12" s="29"/>
      <c r="D12" s="28"/>
      <c r="E12" s="28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</row>
    <row r="13" spans="1:23">
      <c r="A13" s="27"/>
      <c r="B13" s="28"/>
      <c r="C13" s="29"/>
      <c r="D13" s="28"/>
      <c r="E13" s="28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</row>
    <row r="14" spans="1:23">
      <c r="A14" s="27" t="s">
        <v>84</v>
      </c>
      <c r="B14" s="28" t="s">
        <v>63</v>
      </c>
      <c r="C14" s="29"/>
      <c r="D14" s="28">
        <v>3776372.37</v>
      </c>
      <c r="E14" s="28">
        <v>4324686.3099999996</v>
      </c>
      <c r="F14" s="28">
        <v>4103777.98</v>
      </c>
      <c r="G14" s="28">
        <v>5038030.78</v>
      </c>
      <c r="H14" s="28">
        <f>5038030.78-850000</f>
        <v>4188030.7800000003</v>
      </c>
      <c r="I14" s="28">
        <f t="shared" ref="I14:W14" si="3">5038030.78-850000</f>
        <v>4188030.7800000003</v>
      </c>
      <c r="J14" s="28">
        <f t="shared" si="3"/>
        <v>4188030.7800000003</v>
      </c>
      <c r="K14" s="28">
        <f t="shared" si="3"/>
        <v>4188030.7800000003</v>
      </c>
      <c r="L14" s="28">
        <f t="shared" si="3"/>
        <v>4188030.7800000003</v>
      </c>
      <c r="M14" s="28">
        <f t="shared" si="3"/>
        <v>4188030.7800000003</v>
      </c>
      <c r="N14" s="28">
        <f t="shared" si="3"/>
        <v>4188030.7800000003</v>
      </c>
      <c r="O14" s="28">
        <f t="shared" si="3"/>
        <v>4188030.7800000003</v>
      </c>
      <c r="P14" s="28">
        <f t="shared" si="3"/>
        <v>4188030.7800000003</v>
      </c>
      <c r="Q14" s="28">
        <f t="shared" si="3"/>
        <v>4188030.7800000003</v>
      </c>
      <c r="R14" s="28">
        <f t="shared" si="3"/>
        <v>4188030.7800000003</v>
      </c>
      <c r="S14" s="28">
        <f t="shared" si="3"/>
        <v>4188030.7800000003</v>
      </c>
      <c r="T14" s="28">
        <f t="shared" si="3"/>
        <v>4188030.7800000003</v>
      </c>
      <c r="U14" s="28">
        <f t="shared" si="3"/>
        <v>4188030.7800000003</v>
      </c>
      <c r="V14" s="28">
        <f t="shared" si="3"/>
        <v>4188030.7800000003</v>
      </c>
      <c r="W14" s="28">
        <f t="shared" si="3"/>
        <v>4188030.7800000003</v>
      </c>
    </row>
    <row r="15" spans="1:23">
      <c r="A15" s="33" t="s">
        <v>85</v>
      </c>
      <c r="B15" s="28"/>
      <c r="C15" s="29"/>
      <c r="D15" s="28"/>
      <c r="E15" s="28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spans="1:23">
      <c r="A16" s="33" t="s">
        <v>86</v>
      </c>
      <c r="B16" s="28"/>
      <c r="C16" s="29"/>
      <c r="D16" s="34"/>
      <c r="E16" s="34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</row>
    <row r="17" spans="1:23">
      <c r="A17" s="33" t="s">
        <v>87</v>
      </c>
      <c r="B17" s="28"/>
      <c r="C17" s="29"/>
      <c r="D17" s="34">
        <v>687469.06</v>
      </c>
      <c r="E17" s="34">
        <v>1506579.12</v>
      </c>
      <c r="F17" s="34">
        <v>1424277.1</v>
      </c>
      <c r="G17" s="35">
        <v>2144212.9900000002</v>
      </c>
      <c r="H17" s="35">
        <v>2144212.9900000002</v>
      </c>
      <c r="I17" s="35">
        <v>2144212.9900000002</v>
      </c>
      <c r="J17" s="35">
        <v>2144212.9900000002</v>
      </c>
      <c r="K17" s="35">
        <v>2144212.9900000002</v>
      </c>
      <c r="L17" s="35">
        <v>2144212.9900000002</v>
      </c>
      <c r="M17" s="35">
        <v>2144212.9900000002</v>
      </c>
      <c r="N17" s="35">
        <v>2144212.9900000002</v>
      </c>
      <c r="O17" s="35">
        <v>2144212.9900000002</v>
      </c>
      <c r="P17" s="35">
        <v>2144212.9900000002</v>
      </c>
      <c r="Q17" s="35">
        <v>2144212.9900000002</v>
      </c>
      <c r="R17" s="35">
        <v>2144212.9900000002</v>
      </c>
      <c r="S17" s="35">
        <v>2144212.9900000002</v>
      </c>
      <c r="T17" s="35">
        <v>2144212.9900000002</v>
      </c>
      <c r="U17" s="35">
        <v>2144212.9900000002</v>
      </c>
      <c r="V17" s="35">
        <v>2144212.9900000002</v>
      </c>
      <c r="W17" s="35">
        <v>2144212.9900000002</v>
      </c>
    </row>
    <row r="18" spans="1:23">
      <c r="A18" s="27"/>
      <c r="B18" s="28"/>
      <c r="C18" s="29"/>
      <c r="D18" s="28"/>
      <c r="E18" s="28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</row>
    <row r="19" spans="1:23">
      <c r="A19" s="27" t="s">
        <v>67</v>
      </c>
      <c r="B19" s="28" t="s">
        <v>63</v>
      </c>
      <c r="C19" s="29"/>
      <c r="D19" s="28"/>
      <c r="E19" s="28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</row>
    <row r="20" spans="1:23">
      <c r="A20" s="27"/>
      <c r="B20" s="28"/>
      <c r="C20" s="29"/>
      <c r="D20" s="28"/>
      <c r="E20" s="28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</row>
    <row r="21" spans="1:23">
      <c r="A21" s="32" t="s">
        <v>68</v>
      </c>
      <c r="B21" s="28" t="s">
        <v>63</v>
      </c>
      <c r="C21" s="29"/>
      <c r="D21" s="28">
        <v>256335.19</v>
      </c>
      <c r="E21" s="28">
        <v>262652.28999999998</v>
      </c>
      <c r="F21" s="28">
        <v>268616.71999999997</v>
      </c>
      <c r="G21" s="28">
        <v>268616.71999999997</v>
      </c>
      <c r="H21" s="28">
        <v>268616.71999999997</v>
      </c>
      <c r="I21" s="28">
        <v>268616.71999999997</v>
      </c>
      <c r="J21" s="28">
        <v>268616.71999999997</v>
      </c>
      <c r="K21" s="28">
        <v>268616.71999999997</v>
      </c>
      <c r="L21" s="28">
        <v>268616.71999999997</v>
      </c>
      <c r="M21" s="28">
        <v>268616.71999999997</v>
      </c>
      <c r="N21" s="28">
        <v>268616.71999999997</v>
      </c>
      <c r="O21" s="28">
        <v>268616.71999999997</v>
      </c>
      <c r="P21" s="28">
        <v>268616.71999999997</v>
      </c>
      <c r="Q21" s="28">
        <v>268616.71999999997</v>
      </c>
      <c r="R21" s="28">
        <v>268616.71999999997</v>
      </c>
      <c r="S21" s="28">
        <v>268616.71999999997</v>
      </c>
      <c r="T21" s="28">
        <v>268616.71999999997</v>
      </c>
      <c r="U21" s="28">
        <v>268616.71999999997</v>
      </c>
      <c r="V21" s="28">
        <v>268616.71999999997</v>
      </c>
      <c r="W21" s="28">
        <v>268616.71999999997</v>
      </c>
    </row>
    <row r="22" spans="1:23">
      <c r="A22" s="33" t="s">
        <v>65</v>
      </c>
      <c r="B22" s="34"/>
      <c r="C22" s="36"/>
      <c r="D22" s="34"/>
      <c r="E22" s="34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</row>
    <row r="23" spans="1:23">
      <c r="A23" s="32" t="s">
        <v>88</v>
      </c>
      <c r="B23" s="28"/>
      <c r="C23" s="29"/>
      <c r="D23" s="34"/>
      <c r="E23" s="34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</row>
    <row r="24" spans="1:23">
      <c r="A24" s="32"/>
      <c r="B24" s="28"/>
      <c r="C24" s="29"/>
      <c r="D24" s="28"/>
      <c r="E24" s="28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</row>
    <row r="25" spans="1:23">
      <c r="A25" s="37" t="s">
        <v>89</v>
      </c>
      <c r="B25" s="38"/>
      <c r="C25" s="39"/>
      <c r="D25" s="38">
        <f t="shared" ref="D25:M25" si="4">+D5+D9+D12-D14-D19-D7-D21</f>
        <v>-164243.08000000025</v>
      </c>
      <c r="E25" s="38">
        <f t="shared" si="4"/>
        <v>0</v>
      </c>
      <c r="F25" s="40">
        <f t="shared" si="4"/>
        <v>0</v>
      </c>
      <c r="G25" s="40">
        <f t="shared" si="4"/>
        <v>-6.4028427004814148E-10</v>
      </c>
      <c r="H25" s="40">
        <f t="shared" si="4"/>
        <v>-6.4028427004814148E-10</v>
      </c>
      <c r="I25" s="40">
        <f t="shared" si="4"/>
        <v>-6.4028427004814148E-10</v>
      </c>
      <c r="J25" s="40">
        <f t="shared" si="4"/>
        <v>-6.4028427004814148E-10</v>
      </c>
      <c r="K25" s="40">
        <f t="shared" si="4"/>
        <v>-6.4028427004814148E-10</v>
      </c>
      <c r="L25" s="40">
        <f t="shared" si="4"/>
        <v>-6.4028427004814148E-10</v>
      </c>
      <c r="M25" s="40">
        <f t="shared" si="4"/>
        <v>-6.4028427004814148E-10</v>
      </c>
      <c r="N25" s="40">
        <f t="shared" ref="N25:W25" si="5">+N5+N9+N12-N14-N19-N7-N21</f>
        <v>-6.4028427004814148E-10</v>
      </c>
      <c r="O25" s="40">
        <f t="shared" si="5"/>
        <v>-6.4028427004814148E-10</v>
      </c>
      <c r="P25" s="40">
        <f t="shared" si="5"/>
        <v>-6.4028427004814148E-10</v>
      </c>
      <c r="Q25" s="40">
        <f t="shared" si="5"/>
        <v>-6.4028427004814148E-10</v>
      </c>
      <c r="R25" s="40">
        <f t="shared" si="5"/>
        <v>17629.519999999378</v>
      </c>
      <c r="S25" s="40">
        <f t="shared" si="5"/>
        <v>399309.19999999937</v>
      </c>
      <c r="T25" s="40">
        <f t="shared" si="5"/>
        <v>399309.19999999937</v>
      </c>
      <c r="U25" s="40">
        <f t="shared" si="5"/>
        <v>399309.19999999937</v>
      </c>
      <c r="V25" s="40">
        <f t="shared" si="5"/>
        <v>399309.19999999937</v>
      </c>
      <c r="W25" s="40">
        <f t="shared" si="5"/>
        <v>399309.19999999937</v>
      </c>
    </row>
    <row r="26" spans="1:23">
      <c r="A26" s="41"/>
      <c r="B26" s="21"/>
      <c r="C26" s="42"/>
      <c r="D26" s="21"/>
      <c r="E26" s="21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</row>
    <row r="27" spans="1:23" ht="31.5" customHeight="1">
      <c r="A27" s="143" t="s">
        <v>90</v>
      </c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</row>
    <row r="28" spans="1:23">
      <c r="A28" s="27"/>
      <c r="B28" s="16"/>
      <c r="C28" s="29"/>
      <c r="D28" s="16"/>
      <c r="E28" s="16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</row>
    <row r="29" spans="1:23" ht="32.25">
      <c r="A29" s="45" t="s">
        <v>91</v>
      </c>
      <c r="B29" s="28" t="s">
        <v>61</v>
      </c>
      <c r="C29" s="29"/>
      <c r="D29" s="28">
        <v>164243.07999999999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</row>
    <row r="30" spans="1:23">
      <c r="A30" s="33" t="s">
        <v>65</v>
      </c>
      <c r="B30" s="34"/>
      <c r="C30" s="36"/>
      <c r="D30" s="34"/>
      <c r="E30" s="28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</row>
    <row r="31" spans="1:23">
      <c r="A31" s="27"/>
      <c r="B31" s="28"/>
      <c r="C31" s="29"/>
      <c r="D31" s="28"/>
      <c r="E31" s="28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</row>
    <row r="32" spans="1:23" ht="30">
      <c r="A32" s="32" t="s">
        <v>69</v>
      </c>
      <c r="B32" s="28" t="s">
        <v>61</v>
      </c>
      <c r="C32" s="29"/>
      <c r="D32" s="28"/>
      <c r="E32" s="28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</row>
    <row r="33" spans="1:23">
      <c r="A33" s="33" t="s">
        <v>65</v>
      </c>
      <c r="B33" s="34"/>
      <c r="C33" s="36"/>
      <c r="D33" s="34"/>
      <c r="E33" s="34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</row>
    <row r="34" spans="1:23">
      <c r="A34" s="27"/>
      <c r="B34" s="28"/>
      <c r="C34" s="29"/>
      <c r="D34" s="28"/>
      <c r="E34" s="28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</row>
    <row r="35" spans="1:23" ht="30">
      <c r="A35" s="32" t="s">
        <v>70</v>
      </c>
      <c r="B35" s="28" t="s">
        <v>63</v>
      </c>
      <c r="C35" s="29"/>
      <c r="D35" s="28"/>
      <c r="E35" s="28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</row>
    <row r="36" spans="1:23">
      <c r="A36" s="27"/>
      <c r="B36" s="28"/>
      <c r="C36" s="29"/>
      <c r="D36" s="28"/>
      <c r="E36" s="28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</row>
    <row r="37" spans="1:23">
      <c r="A37" s="32" t="s">
        <v>71</v>
      </c>
      <c r="B37" s="28" t="s">
        <v>61</v>
      </c>
      <c r="C37" s="29"/>
      <c r="D37" s="28"/>
      <c r="E37" s="28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</row>
    <row r="38" spans="1:23">
      <c r="A38" s="41"/>
      <c r="B38" s="21"/>
      <c r="C38" s="42"/>
      <c r="D38" s="21"/>
      <c r="E38" s="21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</row>
    <row r="39" spans="1:23">
      <c r="A39" s="141" t="s">
        <v>92</v>
      </c>
      <c r="B39" s="28"/>
      <c r="C39" s="29"/>
      <c r="D39" s="28"/>
      <c r="E39" s="28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</row>
    <row r="40" spans="1:23">
      <c r="A40" s="142"/>
      <c r="B40" s="28"/>
      <c r="C40" s="29"/>
      <c r="D40" s="28"/>
      <c r="E40" s="28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</row>
    <row r="41" spans="1:23" ht="15.75" thickBot="1">
      <c r="A41" s="46" t="s">
        <v>72</v>
      </c>
      <c r="B41" s="47"/>
      <c r="C41" s="48"/>
      <c r="D41" s="49">
        <f t="shared" ref="D41:M41" si="6">D25+D29+D32-D35+D37</f>
        <v>-2.6193447411060333E-10</v>
      </c>
      <c r="E41" s="49">
        <f t="shared" si="6"/>
        <v>0</v>
      </c>
      <c r="F41" s="49">
        <f t="shared" si="6"/>
        <v>0</v>
      </c>
      <c r="G41" s="49">
        <f t="shared" si="6"/>
        <v>-6.4028427004814148E-10</v>
      </c>
      <c r="H41" s="49">
        <f t="shared" si="6"/>
        <v>-6.4028427004814148E-10</v>
      </c>
      <c r="I41" s="49">
        <f t="shared" si="6"/>
        <v>-6.4028427004814148E-10</v>
      </c>
      <c r="J41" s="49">
        <f t="shared" si="6"/>
        <v>-6.4028427004814148E-10</v>
      </c>
      <c r="K41" s="49">
        <f t="shared" si="6"/>
        <v>-6.4028427004814148E-10</v>
      </c>
      <c r="L41" s="49">
        <f t="shared" si="6"/>
        <v>-6.4028427004814148E-10</v>
      </c>
      <c r="M41" s="49">
        <f t="shared" si="6"/>
        <v>-6.4028427004814148E-10</v>
      </c>
      <c r="N41" s="49">
        <f t="shared" ref="N41:W41" si="7">N25+N29+N32-N35+N37</f>
        <v>-6.4028427004814148E-10</v>
      </c>
      <c r="O41" s="49">
        <f t="shared" si="7"/>
        <v>-6.4028427004814148E-10</v>
      </c>
      <c r="P41" s="49">
        <f t="shared" si="7"/>
        <v>-6.4028427004814148E-10</v>
      </c>
      <c r="Q41" s="49">
        <f t="shared" si="7"/>
        <v>-6.4028427004814148E-10</v>
      </c>
      <c r="R41" s="49">
        <f t="shared" si="7"/>
        <v>17629.519999999378</v>
      </c>
      <c r="S41" s="49">
        <f t="shared" si="7"/>
        <v>399309.19999999937</v>
      </c>
      <c r="T41" s="49">
        <f t="shared" si="7"/>
        <v>399309.19999999937</v>
      </c>
      <c r="U41" s="49">
        <f t="shared" si="7"/>
        <v>399309.19999999937</v>
      </c>
      <c r="V41" s="49">
        <f t="shared" si="7"/>
        <v>399309.19999999937</v>
      </c>
      <c r="W41" s="49">
        <f t="shared" si="7"/>
        <v>399309.19999999937</v>
      </c>
    </row>
    <row r="42" spans="1:23" ht="15.75" thickTop="1">
      <c r="A42" s="27"/>
      <c r="B42" s="28"/>
      <c r="C42" s="29"/>
      <c r="D42" s="28"/>
      <c r="E42" s="28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</row>
    <row r="43" spans="1:23" ht="17.25">
      <c r="A43" s="32" t="s">
        <v>93</v>
      </c>
      <c r="B43" s="28" t="s">
        <v>61</v>
      </c>
      <c r="C43" s="29"/>
      <c r="D43" s="28"/>
      <c r="E43" s="28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</row>
    <row r="44" spans="1:23">
      <c r="A44" s="27"/>
      <c r="B44" s="28"/>
      <c r="C44" s="29"/>
      <c r="D44" s="28"/>
      <c r="E44" s="28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</row>
    <row r="45" spans="1:23">
      <c r="A45" s="27" t="s">
        <v>94</v>
      </c>
      <c r="B45" s="28" t="s">
        <v>61</v>
      </c>
      <c r="C45" s="29"/>
      <c r="D45" s="28">
        <v>997616.85</v>
      </c>
      <c r="E45" s="28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</row>
    <row r="46" spans="1:23">
      <c r="A46" s="27"/>
      <c r="B46" s="28"/>
      <c r="C46" s="29"/>
      <c r="D46" s="28"/>
      <c r="E46" s="28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</row>
    <row r="47" spans="1:23">
      <c r="A47" s="27" t="s">
        <v>73</v>
      </c>
      <c r="B47" s="28" t="s">
        <v>61</v>
      </c>
      <c r="C47" s="29"/>
      <c r="D47" s="28">
        <v>3128020.3</v>
      </c>
      <c r="E47" s="28">
        <v>1085000</v>
      </c>
      <c r="F47" s="30">
        <v>165000</v>
      </c>
      <c r="G47" s="30">
        <v>165000</v>
      </c>
      <c r="H47" s="30">
        <v>165000</v>
      </c>
      <c r="I47" s="30">
        <v>165000</v>
      </c>
      <c r="J47" s="30">
        <v>165000</v>
      </c>
      <c r="K47" s="30">
        <v>165000</v>
      </c>
      <c r="L47" s="30">
        <v>165000</v>
      </c>
      <c r="M47" s="30">
        <v>165000</v>
      </c>
      <c r="N47" s="30">
        <v>165000</v>
      </c>
      <c r="O47" s="30">
        <v>165000</v>
      </c>
      <c r="P47" s="30">
        <v>165000</v>
      </c>
      <c r="Q47" s="30">
        <v>165000</v>
      </c>
      <c r="R47" s="30">
        <v>165000</v>
      </c>
      <c r="S47" s="30">
        <v>165000</v>
      </c>
      <c r="T47" s="30">
        <v>165000</v>
      </c>
      <c r="U47" s="30">
        <v>165000</v>
      </c>
      <c r="V47" s="30">
        <v>165000</v>
      </c>
      <c r="W47" s="30">
        <v>165000</v>
      </c>
    </row>
    <row r="48" spans="1:23">
      <c r="A48" s="27"/>
      <c r="B48" s="28"/>
      <c r="C48" s="29"/>
      <c r="D48" s="28"/>
      <c r="E48" s="28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</row>
    <row r="49" spans="1:23" ht="30">
      <c r="A49" s="32" t="s">
        <v>66</v>
      </c>
      <c r="B49" s="28" t="s">
        <v>63</v>
      </c>
      <c r="C49" s="29"/>
      <c r="D49" s="28"/>
      <c r="E49" s="28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</row>
    <row r="50" spans="1:23">
      <c r="A50" s="27"/>
      <c r="B50" s="28"/>
      <c r="C50" s="29"/>
      <c r="D50" s="28"/>
      <c r="E50" s="28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</row>
    <row r="51" spans="1:23" ht="30">
      <c r="A51" s="32" t="s">
        <v>69</v>
      </c>
      <c r="B51" s="28" t="s">
        <v>63</v>
      </c>
      <c r="C51" s="29"/>
      <c r="D51" s="28"/>
      <c r="E51" s="28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</row>
    <row r="52" spans="1:23">
      <c r="A52" s="27"/>
      <c r="B52" s="28"/>
      <c r="C52" s="29"/>
      <c r="D52" s="28"/>
      <c r="E52" s="28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</row>
    <row r="53" spans="1:23">
      <c r="A53" s="27" t="s">
        <v>74</v>
      </c>
      <c r="B53" s="28" t="s">
        <v>63</v>
      </c>
      <c r="C53" s="29"/>
      <c r="D53" s="28"/>
      <c r="E53" s="28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</row>
    <row r="54" spans="1:23">
      <c r="A54" s="27"/>
      <c r="B54" s="28"/>
      <c r="C54" s="29"/>
      <c r="D54" s="28"/>
      <c r="E54" s="28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</row>
    <row r="55" spans="1:23">
      <c r="A55" s="27" t="s">
        <v>75</v>
      </c>
      <c r="B55" s="28" t="s">
        <v>63</v>
      </c>
      <c r="C55" s="29"/>
      <c r="D55" s="28"/>
      <c r="E55" s="28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</row>
    <row r="56" spans="1:23">
      <c r="A56" s="27"/>
      <c r="B56" s="28"/>
      <c r="C56" s="29"/>
      <c r="D56" s="28"/>
      <c r="E56" s="28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</row>
    <row r="57" spans="1:23">
      <c r="A57" s="32" t="s">
        <v>95</v>
      </c>
      <c r="B57" s="28" t="s">
        <v>63</v>
      </c>
      <c r="C57" s="29"/>
      <c r="D57" s="28"/>
      <c r="E57" s="28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</row>
    <row r="58" spans="1:23">
      <c r="A58" s="27"/>
      <c r="B58" s="28"/>
      <c r="C58" s="29"/>
      <c r="D58" s="28"/>
      <c r="E58" s="28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</row>
    <row r="59" spans="1:23" ht="30">
      <c r="A59" s="32" t="s">
        <v>70</v>
      </c>
      <c r="B59" s="28" t="s">
        <v>61</v>
      </c>
      <c r="C59" s="29"/>
      <c r="D59" s="28"/>
      <c r="E59" s="28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</row>
    <row r="60" spans="1:23">
      <c r="A60" s="27"/>
      <c r="B60" s="28"/>
      <c r="C60" s="29"/>
      <c r="D60" s="28"/>
      <c r="E60" s="28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</row>
    <row r="61" spans="1:23">
      <c r="A61" s="32" t="s">
        <v>71</v>
      </c>
      <c r="B61" s="28" t="s">
        <v>63</v>
      </c>
      <c r="C61" s="29"/>
      <c r="D61" s="28"/>
      <c r="E61" s="28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</row>
    <row r="62" spans="1:23">
      <c r="A62" s="27"/>
      <c r="B62" s="28"/>
      <c r="C62" s="29"/>
      <c r="D62" s="28"/>
      <c r="E62" s="28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</row>
    <row r="63" spans="1:23">
      <c r="A63" s="27" t="s">
        <v>76</v>
      </c>
      <c r="B63" s="28" t="s">
        <v>63</v>
      </c>
      <c r="C63" s="29"/>
      <c r="D63" s="28">
        <v>4125637.15</v>
      </c>
      <c r="E63" s="28">
        <v>1085000</v>
      </c>
      <c r="F63" s="30">
        <v>165000</v>
      </c>
      <c r="G63" s="30">
        <v>165000</v>
      </c>
      <c r="H63" s="30">
        <v>165000</v>
      </c>
      <c r="I63" s="30">
        <v>165000</v>
      </c>
      <c r="J63" s="30">
        <v>165000</v>
      </c>
      <c r="K63" s="30">
        <v>165000</v>
      </c>
      <c r="L63" s="30">
        <v>165000</v>
      </c>
      <c r="M63" s="30">
        <v>165000</v>
      </c>
      <c r="N63" s="30">
        <v>165000</v>
      </c>
      <c r="O63" s="30">
        <v>165000</v>
      </c>
      <c r="P63" s="30">
        <v>165000</v>
      </c>
      <c r="Q63" s="30">
        <v>165000</v>
      </c>
      <c r="R63" s="30">
        <v>165000</v>
      </c>
      <c r="S63" s="30">
        <v>165000</v>
      </c>
      <c r="T63" s="30">
        <v>165000</v>
      </c>
      <c r="U63" s="30">
        <v>165000</v>
      </c>
      <c r="V63" s="30">
        <v>165000</v>
      </c>
      <c r="W63" s="30">
        <v>165000</v>
      </c>
    </row>
    <row r="64" spans="1:23">
      <c r="A64" s="33" t="s">
        <v>96</v>
      </c>
      <c r="B64" s="34"/>
      <c r="C64" s="36"/>
      <c r="D64" s="34"/>
      <c r="E64" s="34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</row>
    <row r="65" spans="1:23">
      <c r="A65" s="27"/>
      <c r="B65" s="28"/>
      <c r="C65" s="29"/>
      <c r="D65" s="28"/>
      <c r="E65" s="28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</row>
    <row r="66" spans="1:23">
      <c r="A66" s="27" t="s">
        <v>77</v>
      </c>
      <c r="B66" s="28" t="s">
        <v>63</v>
      </c>
      <c r="C66" s="29"/>
      <c r="D66" s="28"/>
      <c r="E66" s="28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</row>
    <row r="67" spans="1:23">
      <c r="A67" s="27"/>
      <c r="B67" s="28"/>
      <c r="C67" s="29"/>
      <c r="D67" s="28"/>
      <c r="E67" s="28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</row>
    <row r="68" spans="1:23">
      <c r="A68" s="27" t="s">
        <v>67</v>
      </c>
      <c r="B68" s="28" t="s">
        <v>61</v>
      </c>
      <c r="C68" s="29"/>
      <c r="D68" s="28"/>
      <c r="E68" s="28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</row>
    <row r="69" spans="1:23">
      <c r="A69" s="41"/>
      <c r="B69" s="21"/>
      <c r="C69" s="42"/>
      <c r="D69" s="21"/>
      <c r="E69" s="21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</row>
    <row r="70" spans="1:23">
      <c r="A70" s="141" t="s">
        <v>78</v>
      </c>
      <c r="B70" s="16"/>
      <c r="C70" s="29"/>
      <c r="D70" s="28"/>
      <c r="E70" s="28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</row>
    <row r="71" spans="1:23">
      <c r="A71" s="142"/>
      <c r="B71" s="28"/>
      <c r="C71" s="29"/>
      <c r="D71" s="28"/>
      <c r="E71" s="28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</row>
    <row r="72" spans="1:23" ht="15.75" thickBot="1">
      <c r="A72" s="46" t="s">
        <v>97</v>
      </c>
      <c r="B72" s="47"/>
      <c r="C72" s="48"/>
      <c r="D72" s="49">
        <f>+D43+D45+D47-D49-D51-D53-D55-D57+D59-D61-D63-D66+D68</f>
        <v>0</v>
      </c>
      <c r="E72" s="49">
        <f t="shared" ref="E72:M72" si="8">+E45+E47-E49-E51-E53-E55-E57+E59-E61-E63-E66+E68</f>
        <v>0</v>
      </c>
      <c r="F72" s="50">
        <f t="shared" si="8"/>
        <v>0</v>
      </c>
      <c r="G72" s="50">
        <f t="shared" si="8"/>
        <v>0</v>
      </c>
      <c r="H72" s="50">
        <f t="shared" si="8"/>
        <v>0</v>
      </c>
      <c r="I72" s="50">
        <f t="shared" si="8"/>
        <v>0</v>
      </c>
      <c r="J72" s="50">
        <f t="shared" si="8"/>
        <v>0</v>
      </c>
      <c r="K72" s="50">
        <f t="shared" si="8"/>
        <v>0</v>
      </c>
      <c r="L72" s="50">
        <f t="shared" si="8"/>
        <v>0</v>
      </c>
      <c r="M72" s="50">
        <f t="shared" si="8"/>
        <v>0</v>
      </c>
      <c r="N72" s="50">
        <f t="shared" ref="N72:W72" si="9">+N45+N47-N49-N51-N53-N55-N57+N59-N61-N63-N66+N68</f>
        <v>0</v>
      </c>
      <c r="O72" s="50">
        <f t="shared" si="9"/>
        <v>0</v>
      </c>
      <c r="P72" s="50">
        <f t="shared" si="9"/>
        <v>0</v>
      </c>
      <c r="Q72" s="50">
        <f t="shared" si="9"/>
        <v>0</v>
      </c>
      <c r="R72" s="50">
        <f t="shared" si="9"/>
        <v>0</v>
      </c>
      <c r="S72" s="50">
        <f t="shared" si="9"/>
        <v>0</v>
      </c>
      <c r="T72" s="50">
        <f t="shared" si="9"/>
        <v>0</v>
      </c>
      <c r="U72" s="50">
        <f t="shared" si="9"/>
        <v>0</v>
      </c>
      <c r="V72" s="50">
        <f t="shared" si="9"/>
        <v>0</v>
      </c>
      <c r="W72" s="50">
        <f t="shared" si="9"/>
        <v>0</v>
      </c>
    </row>
    <row r="73" spans="1:23" ht="15.75" thickTop="1">
      <c r="A73" s="27"/>
      <c r="B73" s="28"/>
      <c r="C73" s="29"/>
      <c r="D73" s="28"/>
      <c r="E73" s="28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</row>
    <row r="74" spans="1:23">
      <c r="A74" s="27"/>
      <c r="B74" s="28"/>
      <c r="C74" s="29"/>
      <c r="D74" s="28"/>
      <c r="E74" s="28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</row>
    <row r="75" spans="1:23">
      <c r="A75" s="27"/>
      <c r="B75" s="28"/>
      <c r="C75" s="29"/>
      <c r="D75" s="28"/>
      <c r="E75" s="28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</row>
    <row r="76" spans="1:23">
      <c r="A76" s="27" t="s">
        <v>74</v>
      </c>
      <c r="B76" s="28" t="s">
        <v>61</v>
      </c>
      <c r="C76" s="29"/>
      <c r="D76" s="28"/>
      <c r="E76" s="28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</row>
    <row r="77" spans="1:23">
      <c r="A77" s="27"/>
      <c r="B77" s="28"/>
      <c r="C77" s="29"/>
      <c r="D77" s="28"/>
      <c r="E77" s="28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</row>
    <row r="78" spans="1:23">
      <c r="A78" s="27" t="s">
        <v>75</v>
      </c>
      <c r="B78" s="28" t="s">
        <v>61</v>
      </c>
      <c r="C78" s="29"/>
      <c r="D78" s="28"/>
      <c r="E78" s="28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</row>
    <row r="79" spans="1:23">
      <c r="A79" s="27"/>
      <c r="B79" s="28"/>
      <c r="C79" s="29"/>
      <c r="D79" s="28"/>
      <c r="E79" s="28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</row>
    <row r="80" spans="1:23">
      <c r="A80" s="32" t="s">
        <v>95</v>
      </c>
      <c r="B80" s="28" t="s">
        <v>61</v>
      </c>
      <c r="C80" s="29"/>
      <c r="D80" s="28"/>
      <c r="E80" s="28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</row>
    <row r="81" spans="1:23">
      <c r="A81" s="27"/>
      <c r="B81" s="28"/>
      <c r="C81" s="29"/>
      <c r="D81" s="28"/>
      <c r="E81" s="28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</row>
    <row r="82" spans="1:23">
      <c r="A82" s="27" t="s">
        <v>79</v>
      </c>
      <c r="B82" s="28" t="s">
        <v>63</v>
      </c>
      <c r="C82" s="29"/>
      <c r="D82" s="28"/>
      <c r="E82" s="28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</row>
    <row r="83" spans="1:23">
      <c r="A83" s="27"/>
      <c r="B83" s="28"/>
      <c r="C83" s="29"/>
      <c r="D83" s="28"/>
      <c r="E83" s="28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</row>
    <row r="84" spans="1:23">
      <c r="A84" s="27" t="s">
        <v>80</v>
      </c>
      <c r="B84" s="28" t="s">
        <v>63</v>
      </c>
      <c r="C84" s="29"/>
      <c r="D84" s="28"/>
      <c r="E84" s="28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</row>
    <row r="85" spans="1:23">
      <c r="A85" s="27"/>
      <c r="B85" s="28"/>
      <c r="C85" s="29"/>
      <c r="D85" s="28"/>
      <c r="E85" s="28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</row>
    <row r="86" spans="1:23">
      <c r="A86" s="32" t="s">
        <v>98</v>
      </c>
      <c r="B86" s="28" t="s">
        <v>63</v>
      </c>
      <c r="C86" s="29"/>
      <c r="D86" s="28"/>
      <c r="E86" s="28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</row>
    <row r="87" spans="1:23">
      <c r="A87" s="27"/>
      <c r="B87" s="28"/>
      <c r="C87" s="29"/>
      <c r="D87" s="28"/>
      <c r="E87" s="28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</row>
    <row r="88" spans="1:23">
      <c r="A88" s="27"/>
      <c r="B88" s="28"/>
      <c r="C88" s="51"/>
      <c r="D88" s="21"/>
      <c r="E88" s="21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</row>
    <row r="89" spans="1:23">
      <c r="A89" s="141" t="s">
        <v>81</v>
      </c>
      <c r="B89" s="16"/>
      <c r="C89" s="29"/>
      <c r="D89" s="28"/>
      <c r="E89" s="28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</row>
    <row r="90" spans="1:23">
      <c r="A90" s="142"/>
      <c r="B90" s="28"/>
      <c r="C90" s="29"/>
      <c r="D90" s="28"/>
      <c r="E90" s="28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</row>
    <row r="91" spans="1:23" ht="15.75" thickBot="1">
      <c r="A91" s="46" t="s">
        <v>82</v>
      </c>
      <c r="B91" s="47"/>
      <c r="C91" s="48"/>
      <c r="D91" s="49">
        <f t="shared" ref="D91:M91" si="10">+D41+D72+D76+D78+D80-D82-D84-D86</f>
        <v>-2.6193447411060333E-10</v>
      </c>
      <c r="E91" s="49">
        <f t="shared" si="10"/>
        <v>0</v>
      </c>
      <c r="F91" s="50">
        <v>0</v>
      </c>
      <c r="G91" s="50">
        <v>0</v>
      </c>
      <c r="H91" s="50">
        <f t="shared" si="10"/>
        <v>-6.4028427004814148E-10</v>
      </c>
      <c r="I91" s="50">
        <f t="shared" si="10"/>
        <v>-6.4028427004814148E-10</v>
      </c>
      <c r="J91" s="50">
        <f t="shared" si="10"/>
        <v>-6.4028427004814148E-10</v>
      </c>
      <c r="K91" s="50">
        <f t="shared" si="10"/>
        <v>-6.4028427004814148E-10</v>
      </c>
      <c r="L91" s="50">
        <f t="shared" si="10"/>
        <v>-6.4028427004814148E-10</v>
      </c>
      <c r="M91" s="50">
        <f t="shared" si="10"/>
        <v>-6.4028427004814148E-10</v>
      </c>
      <c r="N91" s="50">
        <f t="shared" ref="N91:W91" si="11">+N41+N72+N76+N78+N80-N82-N84-N86</f>
        <v>-6.4028427004814148E-10</v>
      </c>
      <c r="O91" s="50">
        <f t="shared" si="11"/>
        <v>-6.4028427004814148E-10</v>
      </c>
      <c r="P91" s="50">
        <f t="shared" si="11"/>
        <v>-6.4028427004814148E-10</v>
      </c>
      <c r="Q91" s="50">
        <f t="shared" si="11"/>
        <v>-6.4028427004814148E-10</v>
      </c>
      <c r="R91" s="50">
        <f t="shared" si="11"/>
        <v>17629.519999999378</v>
      </c>
      <c r="S91" s="50">
        <f t="shared" si="11"/>
        <v>399309.19999999937</v>
      </c>
      <c r="T91" s="50">
        <f t="shared" si="11"/>
        <v>399309.19999999937</v>
      </c>
      <c r="U91" s="50">
        <f t="shared" si="11"/>
        <v>399309.19999999937</v>
      </c>
      <c r="V91" s="50">
        <f t="shared" si="11"/>
        <v>399309.19999999937</v>
      </c>
      <c r="W91" s="50">
        <f t="shared" si="11"/>
        <v>399309.19999999937</v>
      </c>
    </row>
    <row r="92" spans="1:23" ht="15.75" thickTop="1">
      <c r="A92" s="52"/>
      <c r="B92" s="53"/>
      <c r="C92" s="53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</sheetData>
  <mergeCells count="5">
    <mergeCell ref="A1:B1"/>
    <mergeCell ref="A39:A40"/>
    <mergeCell ref="A27:M27"/>
    <mergeCell ref="A70:A71"/>
    <mergeCell ref="A89:A90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E35"/>
  <sheetViews>
    <sheetView zoomScale="120" zoomScaleNormal="120" workbookViewId="0">
      <selection activeCell="E5" sqref="E5"/>
    </sheetView>
  </sheetViews>
  <sheetFormatPr defaultColWidth="11" defaultRowHeight="15.75"/>
  <cols>
    <col min="1" max="1" width="40.875" customWidth="1"/>
    <col min="2" max="2" width="16.5" customWidth="1"/>
    <col min="3" max="3" width="6.125" customWidth="1"/>
    <col min="4" max="4" width="27.875" customWidth="1"/>
    <col min="5" max="5" width="19.625" customWidth="1"/>
  </cols>
  <sheetData>
    <row r="1" spans="1:5" ht="23.25" thickBot="1">
      <c r="A1" s="1" t="s">
        <v>0</v>
      </c>
      <c r="B1" s="1" t="s">
        <v>176</v>
      </c>
      <c r="D1" s="1" t="s">
        <v>27</v>
      </c>
      <c r="E1" s="1" t="s">
        <v>176</v>
      </c>
    </row>
    <row r="2" spans="1:5" ht="16.5" thickBot="1">
      <c r="A2" s="2" t="s">
        <v>1</v>
      </c>
      <c r="B2" s="125"/>
      <c r="D2" s="149"/>
      <c r="E2" s="150"/>
    </row>
    <row r="3" spans="1:5" ht="84.95" customHeight="1" thickBot="1">
      <c r="A3" s="9" t="s">
        <v>2</v>
      </c>
      <c r="B3" s="4" t="s">
        <v>58</v>
      </c>
      <c r="D3" s="149" t="s">
        <v>186</v>
      </c>
      <c r="E3" s="150"/>
    </row>
    <row r="4" spans="1:5" ht="24.95" customHeight="1" thickBot="1">
      <c r="A4" s="3" t="s">
        <v>3</v>
      </c>
      <c r="B4" s="55">
        <v>159765.10999999999</v>
      </c>
      <c r="D4" s="8"/>
      <c r="E4" s="4" t="s">
        <v>28</v>
      </c>
    </row>
    <row r="5" spans="1:5" ht="24.95" customHeight="1" thickBot="1">
      <c r="A5" s="3" t="s">
        <v>4</v>
      </c>
      <c r="B5" s="54"/>
      <c r="D5" s="3" t="s">
        <v>29</v>
      </c>
      <c r="E5" s="56">
        <f>E7+E8+E9+E10+E11+E14</f>
        <v>2325821.2199999997</v>
      </c>
    </row>
    <row r="6" spans="1:5" ht="48.95" customHeight="1" thickBot="1">
      <c r="A6" s="3" t="s">
        <v>5</v>
      </c>
      <c r="B6" s="54">
        <v>0</v>
      </c>
      <c r="D6" s="5" t="s">
        <v>19</v>
      </c>
      <c r="E6" s="56"/>
    </row>
    <row r="7" spans="1:5" ht="48.95" customHeight="1" thickBot="1">
      <c r="A7" s="3" t="s">
        <v>6</v>
      </c>
      <c r="B7" s="54">
        <v>0</v>
      </c>
      <c r="D7" s="5" t="s">
        <v>30</v>
      </c>
      <c r="E7" s="56">
        <v>438601.03</v>
      </c>
    </row>
    <row r="8" spans="1:5" ht="60.95" customHeight="1" thickBot="1">
      <c r="A8" s="3" t="s">
        <v>7</v>
      </c>
      <c r="B8" s="54">
        <v>1438462.35</v>
      </c>
      <c r="D8" s="5" t="s">
        <v>31</v>
      </c>
      <c r="E8" s="56">
        <v>42764.18</v>
      </c>
    </row>
    <row r="9" spans="1:5" ht="24.95" customHeight="1" thickBot="1">
      <c r="A9" s="5" t="s">
        <v>8</v>
      </c>
      <c r="B9" s="54"/>
      <c r="D9" s="5" t="s">
        <v>32</v>
      </c>
      <c r="E9" s="56">
        <v>1365024.01</v>
      </c>
    </row>
    <row r="10" spans="1:5" ht="36.950000000000003" customHeight="1" thickBot="1">
      <c r="A10" s="3" t="s">
        <v>9</v>
      </c>
      <c r="B10" s="54">
        <v>928033.37</v>
      </c>
      <c r="D10" s="5" t="s">
        <v>33</v>
      </c>
      <c r="E10" s="56">
        <v>81979.14</v>
      </c>
    </row>
    <row r="11" spans="1:5" ht="36.950000000000003" customHeight="1" thickBot="1">
      <c r="A11" s="3" t="s">
        <v>10</v>
      </c>
      <c r="B11" s="54">
        <v>574640.47</v>
      </c>
      <c r="D11" s="5" t="s">
        <v>34</v>
      </c>
      <c r="E11" s="56">
        <v>176176.74</v>
      </c>
    </row>
    <row r="12" spans="1:5" ht="36.950000000000003" customHeight="1" thickBot="1">
      <c r="A12" s="3" t="s">
        <v>11</v>
      </c>
      <c r="B12" s="54">
        <v>5253925.3600000003</v>
      </c>
      <c r="D12" s="5" t="s">
        <v>35</v>
      </c>
      <c r="E12" s="56"/>
    </row>
    <row r="13" spans="1:5" ht="36" customHeight="1" thickBot="1">
      <c r="A13" s="6" t="s">
        <v>12</v>
      </c>
      <c r="B13" s="145"/>
      <c r="D13" s="5" t="s">
        <v>36</v>
      </c>
      <c r="E13" s="56"/>
    </row>
    <row r="14" spans="1:5" ht="96.95" customHeight="1" thickBot="1">
      <c r="A14" s="5" t="s">
        <v>13</v>
      </c>
      <c r="B14" s="146"/>
      <c r="D14" s="5" t="s">
        <v>37</v>
      </c>
      <c r="E14" s="56">
        <v>221276.12</v>
      </c>
    </row>
    <row r="15" spans="1:5" ht="48.95" customHeight="1" thickBot="1">
      <c r="A15" s="5" t="s">
        <v>14</v>
      </c>
      <c r="B15" s="54"/>
      <c r="D15" s="5" t="s">
        <v>187</v>
      </c>
      <c r="E15" s="129" t="s">
        <v>188</v>
      </c>
    </row>
    <row r="16" spans="1:5" ht="72.95" customHeight="1" thickBot="1">
      <c r="A16" s="5" t="s">
        <v>15</v>
      </c>
      <c r="B16" s="54"/>
      <c r="D16" s="5" t="s">
        <v>39</v>
      </c>
      <c r="E16" s="129">
        <f>618800.45+994783.1</f>
        <v>1613583.5499999998</v>
      </c>
    </row>
    <row r="17" spans="1:5" ht="60.95" customHeight="1" thickBot="1">
      <c r="A17" s="5" t="s">
        <v>16</v>
      </c>
      <c r="B17" s="54"/>
      <c r="D17" s="5" t="s">
        <v>40</v>
      </c>
      <c r="E17" s="129">
        <v>20877.82</v>
      </c>
    </row>
    <row r="18" spans="1:5" ht="48.95" customHeight="1" thickBot="1">
      <c r="A18" s="3" t="s">
        <v>17</v>
      </c>
      <c r="B18" s="54"/>
      <c r="D18" s="5" t="s">
        <v>41</v>
      </c>
      <c r="E18" s="129"/>
    </row>
    <row r="19" spans="1:5" ht="36.950000000000003" customHeight="1" thickBot="1">
      <c r="A19" s="3" t="s">
        <v>18</v>
      </c>
      <c r="B19" s="54"/>
      <c r="D19" s="5" t="s">
        <v>42</v>
      </c>
      <c r="E19" s="129">
        <f>1659.38+159765.11</f>
        <v>161424.49</v>
      </c>
    </row>
    <row r="20" spans="1:5" ht="16.5" thickBot="1">
      <c r="A20" s="6" t="s">
        <v>19</v>
      </c>
      <c r="B20" s="145"/>
      <c r="D20" s="5" t="s">
        <v>43</v>
      </c>
      <c r="E20" s="56"/>
    </row>
    <row r="21" spans="1:5" ht="24.95" customHeight="1" thickBot="1">
      <c r="A21" s="5" t="s">
        <v>20</v>
      </c>
      <c r="B21" s="146"/>
      <c r="D21" s="5" t="s">
        <v>44</v>
      </c>
      <c r="E21" s="56"/>
    </row>
    <row r="22" spans="1:5" ht="48.95" customHeight="1" thickBot="1">
      <c r="A22" s="5" t="s">
        <v>21</v>
      </c>
      <c r="B22" s="54"/>
      <c r="D22" s="5" t="s">
        <v>45</v>
      </c>
      <c r="E22" s="56"/>
    </row>
    <row r="23" spans="1:5" ht="96.95" customHeight="1" thickBot="1">
      <c r="A23" s="5" t="s">
        <v>22</v>
      </c>
      <c r="B23" s="54"/>
      <c r="D23" s="3" t="s">
        <v>46</v>
      </c>
      <c r="E23" s="56">
        <v>4256308.51</v>
      </c>
    </row>
    <row r="24" spans="1:5" ht="24.95" customHeight="1" thickBot="1">
      <c r="A24" s="5" t="s">
        <v>23</v>
      </c>
      <c r="B24" s="54"/>
      <c r="D24" s="6" t="s">
        <v>19</v>
      </c>
      <c r="E24" s="147"/>
    </row>
    <row r="25" spans="1:5" ht="60.95" customHeight="1" thickBot="1">
      <c r="A25" s="3" t="s">
        <v>24</v>
      </c>
      <c r="B25" s="54"/>
      <c r="D25" s="5" t="s">
        <v>47</v>
      </c>
      <c r="E25" s="148"/>
    </row>
    <row r="26" spans="1:5" ht="36.950000000000003" customHeight="1" thickBot="1">
      <c r="A26" s="3" t="s">
        <v>25</v>
      </c>
      <c r="B26" s="54">
        <v>2693012.31</v>
      </c>
      <c r="D26" s="5" t="s">
        <v>48</v>
      </c>
      <c r="E26" s="56"/>
    </row>
    <row r="27" spans="1:5" ht="16.5" thickBot="1">
      <c r="A27" s="7" t="s">
        <v>26</v>
      </c>
      <c r="B27" s="54">
        <f>SUM(B8:B26)</f>
        <v>10888073.860000001</v>
      </c>
      <c r="D27" s="5" t="s">
        <v>49</v>
      </c>
      <c r="E27" s="56"/>
    </row>
    <row r="28" spans="1:5" ht="23.25" thickBot="1">
      <c r="D28" s="3" t="s">
        <v>50</v>
      </c>
      <c r="E28" s="56"/>
    </row>
    <row r="29" spans="1:5" ht="16.5" thickBot="1">
      <c r="D29" s="3" t="s">
        <v>51</v>
      </c>
      <c r="E29" s="56">
        <v>251218.6</v>
      </c>
    </row>
    <row r="30" spans="1:5">
      <c r="D30" s="6" t="s">
        <v>19</v>
      </c>
      <c r="E30" s="147"/>
    </row>
    <row r="31" spans="1:5" ht="16.5" thickBot="1">
      <c r="D31" s="5" t="s">
        <v>20</v>
      </c>
      <c r="E31" s="148"/>
    </row>
    <row r="32" spans="1:5" ht="16.5" thickBot="1">
      <c r="D32" s="5" t="s">
        <v>52</v>
      </c>
      <c r="E32" s="56"/>
    </row>
    <row r="33" spans="4:5" ht="23.25" thickBot="1">
      <c r="D33" s="3" t="s">
        <v>53</v>
      </c>
      <c r="E33" s="56"/>
    </row>
    <row r="34" spans="4:5" ht="23.25" thickBot="1">
      <c r="D34" s="3" t="s">
        <v>54</v>
      </c>
      <c r="E34" s="56">
        <v>2693012.31</v>
      </c>
    </row>
    <row r="35" spans="4:5" ht="16.5" thickBot="1">
      <c r="D35" s="7" t="s">
        <v>26</v>
      </c>
      <c r="E35" s="56">
        <f>E5+E23+E29+E34</f>
        <v>9526360.6399999987</v>
      </c>
    </row>
  </sheetData>
  <mergeCells count="6">
    <mergeCell ref="B13:B14"/>
    <mergeCell ref="E24:E25"/>
    <mergeCell ref="D3:E3"/>
    <mergeCell ref="D2:E2"/>
    <mergeCell ref="E30:E31"/>
    <mergeCell ref="B20:B21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U28"/>
  <sheetViews>
    <sheetView topLeftCell="E1" zoomScale="120" zoomScaleNormal="120" workbookViewId="0">
      <selection activeCell="O9" sqref="O9:U9"/>
    </sheetView>
  </sheetViews>
  <sheetFormatPr defaultColWidth="11" defaultRowHeight="15.75"/>
  <cols>
    <col min="1" max="1" width="43.875" customWidth="1"/>
    <col min="2" max="2" width="11.875" customWidth="1"/>
  </cols>
  <sheetData>
    <row r="1" spans="1:21" ht="16.5" thickBot="1">
      <c r="A1" s="1" t="s">
        <v>0</v>
      </c>
      <c r="B1" s="58">
        <v>2024</v>
      </c>
      <c r="C1" s="58">
        <f>B1+1</f>
        <v>2025</v>
      </c>
      <c r="D1" s="58">
        <f t="shared" ref="D1:J1" si="0">C1+1</f>
        <v>2026</v>
      </c>
      <c r="E1" s="58">
        <f t="shared" si="0"/>
        <v>2027</v>
      </c>
      <c r="F1" s="58">
        <f t="shared" si="0"/>
        <v>2028</v>
      </c>
      <c r="G1" s="58">
        <f t="shared" si="0"/>
        <v>2029</v>
      </c>
      <c r="H1" s="58">
        <f t="shared" si="0"/>
        <v>2030</v>
      </c>
      <c r="I1" s="58">
        <f t="shared" si="0"/>
        <v>2031</v>
      </c>
      <c r="J1" s="58">
        <f t="shared" si="0"/>
        <v>2032</v>
      </c>
      <c r="K1" s="58">
        <f t="shared" ref="K1:U1" si="1">J1+1</f>
        <v>2033</v>
      </c>
      <c r="L1" s="58">
        <f t="shared" si="1"/>
        <v>2034</v>
      </c>
      <c r="M1" s="58">
        <f t="shared" si="1"/>
        <v>2035</v>
      </c>
      <c r="N1" s="58">
        <f t="shared" si="1"/>
        <v>2036</v>
      </c>
      <c r="O1" s="58">
        <f t="shared" si="1"/>
        <v>2037</v>
      </c>
      <c r="P1" s="58">
        <f t="shared" si="1"/>
        <v>2038</v>
      </c>
      <c r="Q1" s="58">
        <f t="shared" si="1"/>
        <v>2039</v>
      </c>
      <c r="R1" s="58">
        <f t="shared" si="1"/>
        <v>2040</v>
      </c>
      <c r="S1" s="58">
        <f t="shared" si="1"/>
        <v>2041</v>
      </c>
      <c r="T1" s="58">
        <f t="shared" si="1"/>
        <v>2042</v>
      </c>
      <c r="U1" s="58">
        <f t="shared" si="1"/>
        <v>2043</v>
      </c>
    </row>
    <row r="2" spans="1:21">
      <c r="A2" s="151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ht="16.5" thickBot="1">
      <c r="A3" s="152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1" ht="16.5" thickBot="1">
      <c r="A4" s="9"/>
      <c r="B4" s="10" t="s">
        <v>56</v>
      </c>
      <c r="C4" s="10" t="s">
        <v>56</v>
      </c>
      <c r="D4" s="10" t="s">
        <v>56</v>
      </c>
      <c r="E4" s="10" t="s">
        <v>56</v>
      </c>
      <c r="F4" s="10" t="s">
        <v>56</v>
      </c>
      <c r="G4" s="10" t="s">
        <v>56</v>
      </c>
      <c r="H4" s="10" t="s">
        <v>56</v>
      </c>
      <c r="I4" s="10" t="s">
        <v>56</v>
      </c>
      <c r="J4" s="10" t="s">
        <v>56</v>
      </c>
      <c r="K4" s="10" t="s">
        <v>56</v>
      </c>
      <c r="L4" s="10" t="s">
        <v>56</v>
      </c>
      <c r="M4" s="10" t="s">
        <v>56</v>
      </c>
      <c r="N4" s="10" t="s">
        <v>56</v>
      </c>
      <c r="O4" s="10" t="s">
        <v>56</v>
      </c>
      <c r="P4" s="10" t="s">
        <v>56</v>
      </c>
      <c r="Q4" s="10" t="s">
        <v>56</v>
      </c>
      <c r="R4" s="10" t="s">
        <v>56</v>
      </c>
      <c r="S4" s="10" t="s">
        <v>56</v>
      </c>
      <c r="T4" s="10" t="s">
        <v>56</v>
      </c>
      <c r="U4" s="10" t="s">
        <v>56</v>
      </c>
    </row>
    <row r="5" spans="1:21" ht="16.5" thickBot="1">
      <c r="A5" s="3" t="s">
        <v>3</v>
      </c>
      <c r="B5" s="54">
        <v>164243.07999999999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1" ht="16.5" thickBot="1">
      <c r="A6" s="3" t="s">
        <v>4</v>
      </c>
      <c r="B6" s="54"/>
      <c r="C6" s="54"/>
      <c r="D6" s="5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6.5" thickBot="1">
      <c r="A7" s="3" t="s">
        <v>5</v>
      </c>
      <c r="B7" s="54">
        <v>77072</v>
      </c>
      <c r="C7" s="54"/>
      <c r="D7" s="5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ht="16.5" thickBot="1">
      <c r="A8" s="3" t="s">
        <v>6</v>
      </c>
      <c r="B8" s="54">
        <v>997616.85</v>
      </c>
      <c r="C8" s="54"/>
      <c r="D8" s="5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ht="24" customHeight="1" thickBot="1">
      <c r="A9" s="3" t="s">
        <v>7</v>
      </c>
      <c r="B9" s="54">
        <v>2337368.25</v>
      </c>
      <c r="C9" s="54">
        <v>3497589.47</v>
      </c>
      <c r="D9" s="54">
        <v>3282645.57</v>
      </c>
      <c r="E9" s="54">
        <v>2866207.57</v>
      </c>
      <c r="F9" s="54">
        <v>2866207.57</v>
      </c>
      <c r="G9" s="54">
        <v>2866207.57</v>
      </c>
      <c r="H9" s="54">
        <v>2866207.57</v>
      </c>
      <c r="I9" s="54">
        <v>2866207.57</v>
      </c>
      <c r="J9" s="54">
        <v>2866207.57</v>
      </c>
      <c r="K9" s="54">
        <v>2866207.57</v>
      </c>
      <c r="L9" s="54">
        <v>2866207.57</v>
      </c>
      <c r="M9" s="54">
        <v>2866207.57</v>
      </c>
      <c r="N9" s="54">
        <f>2866207.57-66120</f>
        <v>2800087.57</v>
      </c>
      <c r="O9" s="54">
        <f t="shared" ref="O9:U9" si="2">2866207.57-66120</f>
        <v>2800087.57</v>
      </c>
      <c r="P9" s="54">
        <f t="shared" si="2"/>
        <v>2800087.57</v>
      </c>
      <c r="Q9" s="54">
        <f t="shared" si="2"/>
        <v>2800087.57</v>
      </c>
      <c r="R9" s="54">
        <f t="shared" si="2"/>
        <v>2800087.57</v>
      </c>
      <c r="S9" s="54">
        <f t="shared" si="2"/>
        <v>2800087.57</v>
      </c>
      <c r="T9" s="54">
        <f t="shared" si="2"/>
        <v>2800087.57</v>
      </c>
      <c r="U9" s="54">
        <f t="shared" si="2"/>
        <v>2800087.57</v>
      </c>
    </row>
    <row r="10" spans="1:21" s="131" customFormat="1" ht="16.5" thickBot="1">
      <c r="A10" s="5" t="s">
        <v>8</v>
      </c>
      <c r="B10" s="130">
        <v>561575.05000000005</v>
      </c>
      <c r="C10" s="130">
        <f>'Hp Ripiano Coperture'!D13</f>
        <v>940826.53</v>
      </c>
      <c r="D10" s="130">
        <f>'Hp Ripiano Coperture'!E13</f>
        <v>802353.77</v>
      </c>
      <c r="E10" s="130">
        <f>'Hp Ripiano Coperture'!F13</f>
        <v>1015979.88</v>
      </c>
      <c r="F10" s="130">
        <v>1015979.88</v>
      </c>
      <c r="G10" s="130">
        <v>1015979.88</v>
      </c>
      <c r="H10" s="130">
        <v>1015979.88</v>
      </c>
      <c r="I10" s="130">
        <v>1015979.88</v>
      </c>
      <c r="J10" s="130">
        <v>1015979.88</v>
      </c>
      <c r="K10" s="130">
        <v>1015979.88</v>
      </c>
      <c r="L10" s="130">
        <v>1015979.88</v>
      </c>
      <c r="M10" s="130">
        <v>1015979.88</v>
      </c>
      <c r="N10" s="130">
        <v>1015979.88</v>
      </c>
      <c r="O10" s="130">
        <v>1015979.88</v>
      </c>
      <c r="P10" s="130">
        <v>1015979.88</v>
      </c>
      <c r="Q10" s="130">
        <v>1015979.88</v>
      </c>
      <c r="R10" s="130">
        <v>1015979.88</v>
      </c>
      <c r="S10" s="130">
        <v>1015979.88</v>
      </c>
      <c r="T10" s="130">
        <v>1015979.88</v>
      </c>
      <c r="U10" s="130">
        <v>1015979.88</v>
      </c>
    </row>
    <row r="11" spans="1:21" ht="16.5" thickBot="1">
      <c r="A11" s="3" t="s">
        <v>9</v>
      </c>
      <c r="B11" s="54">
        <v>665289.29</v>
      </c>
      <c r="C11" s="54">
        <v>624574.29</v>
      </c>
      <c r="D11" s="54">
        <v>624574.29</v>
      </c>
      <c r="E11" s="54">
        <v>624574.29</v>
      </c>
      <c r="F11" s="54">
        <v>624574.29</v>
      </c>
      <c r="G11" s="54">
        <v>624574.29</v>
      </c>
      <c r="H11" s="54">
        <v>624574.29</v>
      </c>
      <c r="I11" s="54">
        <v>624574.29</v>
      </c>
      <c r="J11" s="54">
        <v>624574.29</v>
      </c>
      <c r="K11" s="54">
        <v>624574.29</v>
      </c>
      <c r="L11" s="54">
        <v>624574.29</v>
      </c>
      <c r="M11" s="54">
        <v>624574.29</v>
      </c>
      <c r="N11" s="54">
        <v>624574.29</v>
      </c>
      <c r="O11" s="54">
        <v>624574.29</v>
      </c>
      <c r="P11" s="54">
        <v>624574.29</v>
      </c>
      <c r="Q11" s="54">
        <v>624574.29</v>
      </c>
      <c r="R11" s="54">
        <v>624574.29</v>
      </c>
      <c r="S11" s="54">
        <v>624574.29</v>
      </c>
      <c r="T11" s="54">
        <v>624574.29</v>
      </c>
      <c r="U11" s="54">
        <v>624574.29</v>
      </c>
    </row>
    <row r="12" spans="1:21" ht="16.5" thickBot="1">
      <c r="A12" s="3" t="s">
        <v>10</v>
      </c>
      <c r="B12" s="54">
        <v>890155.3</v>
      </c>
      <c r="C12" s="54">
        <v>940156.2</v>
      </c>
      <c r="D12" s="54">
        <v>940156.2</v>
      </c>
      <c r="E12" s="54">
        <v>2290156.2000000002</v>
      </c>
      <c r="F12" s="54">
        <f>2290156.2-850000</f>
        <v>1440156.2000000002</v>
      </c>
      <c r="G12" s="54">
        <f t="shared" ref="G12:U12" si="3">2290156.2-850000</f>
        <v>1440156.2000000002</v>
      </c>
      <c r="H12" s="54">
        <f t="shared" si="3"/>
        <v>1440156.2000000002</v>
      </c>
      <c r="I12" s="54">
        <f t="shared" si="3"/>
        <v>1440156.2000000002</v>
      </c>
      <c r="J12" s="54">
        <f t="shared" si="3"/>
        <v>1440156.2000000002</v>
      </c>
      <c r="K12" s="54">
        <f t="shared" si="3"/>
        <v>1440156.2000000002</v>
      </c>
      <c r="L12" s="54">
        <f t="shared" si="3"/>
        <v>1440156.2000000002</v>
      </c>
      <c r="M12" s="54">
        <f t="shared" si="3"/>
        <v>1440156.2000000002</v>
      </c>
      <c r="N12" s="54">
        <f t="shared" si="3"/>
        <v>1440156.2000000002</v>
      </c>
      <c r="O12" s="54">
        <f t="shared" si="3"/>
        <v>1440156.2000000002</v>
      </c>
      <c r="P12" s="54">
        <f t="shared" si="3"/>
        <v>1440156.2000000002</v>
      </c>
      <c r="Q12" s="54">
        <f t="shared" si="3"/>
        <v>1440156.2000000002</v>
      </c>
      <c r="R12" s="54">
        <f t="shared" si="3"/>
        <v>1440156.2000000002</v>
      </c>
      <c r="S12" s="54">
        <f t="shared" si="3"/>
        <v>1440156.2000000002</v>
      </c>
      <c r="T12" s="54">
        <f t="shared" si="3"/>
        <v>1440156.2000000002</v>
      </c>
      <c r="U12" s="54">
        <f t="shared" si="3"/>
        <v>1440156.2000000002</v>
      </c>
    </row>
    <row r="13" spans="1:21" ht="16.5" thickBot="1">
      <c r="A13" s="3" t="s">
        <v>11</v>
      </c>
      <c r="B13" s="54">
        <v>3128020.3</v>
      </c>
      <c r="C13" s="54">
        <v>1085000</v>
      </c>
      <c r="D13" s="54">
        <v>165000</v>
      </c>
      <c r="E13" s="54">
        <v>165000</v>
      </c>
      <c r="F13" s="54">
        <v>165000</v>
      </c>
      <c r="G13" s="54">
        <v>165000</v>
      </c>
      <c r="H13" s="54">
        <v>165000</v>
      </c>
      <c r="I13" s="54">
        <v>165000</v>
      </c>
      <c r="J13" s="54">
        <v>165000</v>
      </c>
      <c r="K13" s="54">
        <v>165000</v>
      </c>
      <c r="L13" s="54">
        <v>165000</v>
      </c>
      <c r="M13" s="54">
        <v>165000</v>
      </c>
      <c r="N13" s="54">
        <v>165000</v>
      </c>
      <c r="O13" s="54">
        <v>165000</v>
      </c>
      <c r="P13" s="54">
        <v>165000</v>
      </c>
      <c r="Q13" s="54">
        <v>165000</v>
      </c>
      <c r="R13" s="54">
        <v>165000</v>
      </c>
      <c r="S13" s="54">
        <v>165000</v>
      </c>
      <c r="T13" s="54">
        <v>165000</v>
      </c>
      <c r="U13" s="54">
        <v>165000</v>
      </c>
    </row>
    <row r="14" spans="1:21">
      <c r="A14" s="6" t="s">
        <v>12</v>
      </c>
      <c r="B14" s="145"/>
      <c r="C14" s="145"/>
      <c r="D14" s="145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</row>
    <row r="15" spans="1:21" ht="23.25" thickBot="1">
      <c r="A15" s="5" t="s">
        <v>13</v>
      </c>
      <c r="B15" s="146"/>
      <c r="C15" s="146"/>
      <c r="D15" s="146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6.5" thickBot="1">
      <c r="A16" s="5" t="s">
        <v>14</v>
      </c>
      <c r="B16" s="54"/>
      <c r="C16" s="54"/>
      <c r="D16" s="5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ht="23.25" thickBot="1">
      <c r="A17" s="5" t="s">
        <v>15</v>
      </c>
      <c r="B17" s="54"/>
      <c r="C17" s="54"/>
      <c r="D17" s="5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16.5" thickBot="1">
      <c r="A18" s="5" t="s">
        <v>16</v>
      </c>
      <c r="B18" s="54"/>
      <c r="C18" s="54"/>
      <c r="D18" s="5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ht="16.5" thickBot="1">
      <c r="A19" s="3" t="s">
        <v>17</v>
      </c>
      <c r="B19" s="54"/>
      <c r="C19" s="54"/>
      <c r="D19" s="5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ht="16.5" thickBot="1">
      <c r="A20" s="3" t="s">
        <v>55</v>
      </c>
      <c r="B20" s="54"/>
      <c r="C20" s="54">
        <v>661200</v>
      </c>
      <c r="D20" s="5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>
      <c r="A21" s="6" t="s">
        <v>19</v>
      </c>
      <c r="B21" s="145"/>
      <c r="C21" s="155">
        <v>661200</v>
      </c>
      <c r="D21" s="145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</row>
    <row r="22" spans="1:21" s="131" customFormat="1" ht="16.5" thickBot="1">
      <c r="A22" s="5" t="s">
        <v>20</v>
      </c>
      <c r="B22" s="146"/>
      <c r="C22" s="156"/>
      <c r="D22" s="146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</row>
    <row r="23" spans="1:21" ht="16.5" thickBot="1">
      <c r="A23" s="5" t="s">
        <v>21</v>
      </c>
      <c r="B23" s="54"/>
      <c r="C23" s="54"/>
      <c r="D23" s="5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ht="23.25" thickBot="1">
      <c r="A24" s="5" t="s">
        <v>22</v>
      </c>
      <c r="B24" s="54"/>
      <c r="C24" s="54"/>
      <c r="D24" s="5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ht="16.5" thickBot="1">
      <c r="A25" s="5" t="s">
        <v>23</v>
      </c>
      <c r="B25" s="54"/>
      <c r="C25" s="54"/>
      <c r="D25" s="5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ht="16.5" thickBot="1">
      <c r="A26" s="3" t="s">
        <v>24</v>
      </c>
      <c r="B26" s="54">
        <v>939372.15</v>
      </c>
      <c r="C26" s="54">
        <v>1329347.2</v>
      </c>
      <c r="D26" s="54">
        <v>1329347.2</v>
      </c>
      <c r="E26" s="54">
        <v>1329347.2</v>
      </c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</row>
    <row r="27" spans="1:21" ht="16.5" thickBot="1">
      <c r="A27" s="3" t="s">
        <v>25</v>
      </c>
      <c r="B27" s="54">
        <v>3911000</v>
      </c>
      <c r="C27" s="54">
        <v>3911000</v>
      </c>
      <c r="D27" s="54">
        <v>3911000</v>
      </c>
      <c r="E27" s="54">
        <v>3911000</v>
      </c>
      <c r="F27" s="54">
        <v>3911000</v>
      </c>
      <c r="G27" s="54">
        <v>3911000</v>
      </c>
      <c r="H27" s="54">
        <v>3911000</v>
      </c>
      <c r="I27" s="54">
        <v>3911000</v>
      </c>
      <c r="J27" s="54">
        <v>3911000</v>
      </c>
      <c r="K27" s="54">
        <v>3911000</v>
      </c>
      <c r="L27" s="54">
        <v>3911000</v>
      </c>
      <c r="M27" s="54">
        <v>3911000</v>
      </c>
      <c r="N27" s="54">
        <v>3911000</v>
      </c>
      <c r="O27" s="54">
        <v>3911000</v>
      </c>
      <c r="P27" s="54">
        <v>3911000</v>
      </c>
      <c r="Q27" s="54">
        <v>3911000</v>
      </c>
      <c r="R27" s="54">
        <v>3911000</v>
      </c>
      <c r="S27" s="54">
        <v>3911000</v>
      </c>
      <c r="T27" s="54">
        <v>3911000</v>
      </c>
      <c r="U27" s="54">
        <v>3911000</v>
      </c>
    </row>
    <row r="28" spans="1:21" ht="16.5" thickBot="1">
      <c r="A28" s="7" t="s">
        <v>26</v>
      </c>
      <c r="B28" s="54">
        <f>B5+B7+B8+B9+B11+B12+B13+B26+B27</f>
        <v>13110137.219999999</v>
      </c>
      <c r="C28" s="54">
        <f>C9+C11+C12+C13+C20+C26+C27</f>
        <v>12048867.16</v>
      </c>
      <c r="D28" s="54">
        <f>D9+D11+D12+D13+D20+D26+D27</f>
        <v>10252723.26</v>
      </c>
      <c r="E28" s="54">
        <f>E9+E11+E12+E13+E20+E26+E27</f>
        <v>11186285.260000002</v>
      </c>
      <c r="F28" s="54">
        <f t="shared" ref="F28:U28" si="4">F9+F11+F12+F13+F20+F26+F27</f>
        <v>9006938.0600000005</v>
      </c>
      <c r="G28" s="54">
        <f t="shared" si="4"/>
        <v>9006938.0600000005</v>
      </c>
      <c r="H28" s="54">
        <f t="shared" si="4"/>
        <v>9006938.0600000005</v>
      </c>
      <c r="I28" s="54">
        <f t="shared" si="4"/>
        <v>9006938.0600000005</v>
      </c>
      <c r="J28" s="54">
        <f t="shared" si="4"/>
        <v>9006938.0600000005</v>
      </c>
      <c r="K28" s="54">
        <f t="shared" si="4"/>
        <v>9006938.0600000005</v>
      </c>
      <c r="L28" s="54">
        <f t="shared" si="4"/>
        <v>9006938.0600000005</v>
      </c>
      <c r="M28" s="54">
        <f t="shared" si="4"/>
        <v>9006938.0600000005</v>
      </c>
      <c r="N28" s="54">
        <f t="shared" si="4"/>
        <v>8940818.0600000005</v>
      </c>
      <c r="O28" s="54">
        <f t="shared" si="4"/>
        <v>8940818.0600000005</v>
      </c>
      <c r="P28" s="54">
        <f t="shared" si="4"/>
        <v>8940818.0600000005</v>
      </c>
      <c r="Q28" s="54">
        <f t="shared" si="4"/>
        <v>8940818.0600000005</v>
      </c>
      <c r="R28" s="54">
        <f t="shared" si="4"/>
        <v>8940818.0600000005</v>
      </c>
      <c r="S28" s="54">
        <f t="shared" si="4"/>
        <v>8940818.0600000005</v>
      </c>
      <c r="T28" s="54">
        <f t="shared" si="4"/>
        <v>8940818.0600000005</v>
      </c>
      <c r="U28" s="54">
        <f t="shared" si="4"/>
        <v>8940818.0600000005</v>
      </c>
    </row>
  </sheetData>
  <mergeCells count="61">
    <mergeCell ref="A2:A3"/>
    <mergeCell ref="B21:B22"/>
    <mergeCell ref="C2:C3"/>
    <mergeCell ref="B2:B3"/>
    <mergeCell ref="B14:B15"/>
    <mergeCell ref="C14:C15"/>
    <mergeCell ref="C21:C22"/>
    <mergeCell ref="D14:D15"/>
    <mergeCell ref="D21:D22"/>
    <mergeCell ref="D2:D3"/>
    <mergeCell ref="E14:E15"/>
    <mergeCell ref="E21:E22"/>
    <mergeCell ref="E2:E3"/>
    <mergeCell ref="F14:F15"/>
    <mergeCell ref="F21:F22"/>
    <mergeCell ref="F2:F3"/>
    <mergeCell ref="G14:G15"/>
    <mergeCell ref="G21:G22"/>
    <mergeCell ref="G2:G3"/>
    <mergeCell ref="J21:J22"/>
    <mergeCell ref="J2:J3"/>
    <mergeCell ref="J14:J15"/>
    <mergeCell ref="H21:H22"/>
    <mergeCell ref="I2:I3"/>
    <mergeCell ref="I14:I15"/>
    <mergeCell ref="I21:I22"/>
    <mergeCell ref="H2:H3"/>
    <mergeCell ref="H14:H15"/>
    <mergeCell ref="T2:T3"/>
    <mergeCell ref="K2:K3"/>
    <mergeCell ref="L2:L3"/>
    <mergeCell ref="M2:M3"/>
    <mergeCell ref="N2:N3"/>
    <mergeCell ref="O2:O3"/>
    <mergeCell ref="U2:U3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U14:U15"/>
    <mergeCell ref="P2:P3"/>
    <mergeCell ref="Q2:Q3"/>
    <mergeCell ref="R2:R3"/>
    <mergeCell ref="S2:S3"/>
    <mergeCell ref="K21:K22"/>
    <mergeCell ref="L21:L22"/>
    <mergeCell ref="M21:M22"/>
    <mergeCell ref="N21:N22"/>
    <mergeCell ref="O21:O22"/>
    <mergeCell ref="U21:U22"/>
    <mergeCell ref="P21:P22"/>
    <mergeCell ref="Q21:Q22"/>
    <mergeCell ref="R21:R22"/>
    <mergeCell ref="S21:S22"/>
    <mergeCell ref="T21:T22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U36"/>
  <sheetViews>
    <sheetView zoomScale="110" zoomScaleNormal="110" workbookViewId="0">
      <pane xSplit="1" topLeftCell="D1" activePane="topRight" state="frozen"/>
      <selection pane="topRight" activeCell="T4" sqref="T4"/>
    </sheetView>
  </sheetViews>
  <sheetFormatPr defaultColWidth="11" defaultRowHeight="15.75"/>
  <cols>
    <col min="1" max="1" width="35.375" customWidth="1"/>
  </cols>
  <sheetData>
    <row r="1" spans="1:21" ht="16.5" thickBot="1">
      <c r="A1" s="1" t="s">
        <v>27</v>
      </c>
      <c r="B1" s="58">
        <v>2024</v>
      </c>
      <c r="C1" s="58">
        <f>B1+1</f>
        <v>2025</v>
      </c>
      <c r="D1" s="58">
        <f t="shared" ref="D1:J1" si="0">C1+1</f>
        <v>2026</v>
      </c>
      <c r="E1" s="58">
        <f t="shared" si="0"/>
        <v>2027</v>
      </c>
      <c r="F1" s="58">
        <f t="shared" si="0"/>
        <v>2028</v>
      </c>
      <c r="G1" s="58">
        <f t="shared" si="0"/>
        <v>2029</v>
      </c>
      <c r="H1" s="58">
        <f t="shared" si="0"/>
        <v>2030</v>
      </c>
      <c r="I1" s="58">
        <f t="shared" si="0"/>
        <v>2031</v>
      </c>
      <c r="J1" s="58">
        <f t="shared" si="0"/>
        <v>2032</v>
      </c>
      <c r="K1" s="58">
        <f t="shared" ref="K1:U1" si="1">J1+1</f>
        <v>2033</v>
      </c>
      <c r="L1" s="58">
        <f t="shared" si="1"/>
        <v>2034</v>
      </c>
      <c r="M1" s="58">
        <f t="shared" si="1"/>
        <v>2035</v>
      </c>
      <c r="N1" s="58">
        <f t="shared" si="1"/>
        <v>2036</v>
      </c>
      <c r="O1" s="58">
        <f t="shared" si="1"/>
        <v>2037</v>
      </c>
      <c r="P1" s="58">
        <f t="shared" si="1"/>
        <v>2038</v>
      </c>
      <c r="Q1" s="58">
        <f t="shared" si="1"/>
        <v>2039</v>
      </c>
      <c r="R1" s="58">
        <f t="shared" si="1"/>
        <v>2040</v>
      </c>
      <c r="S1" s="58">
        <f t="shared" si="1"/>
        <v>2041</v>
      </c>
      <c r="T1" s="58">
        <f t="shared" si="1"/>
        <v>2042</v>
      </c>
      <c r="U1" s="58">
        <f t="shared" si="1"/>
        <v>2043</v>
      </c>
    </row>
    <row r="2" spans="1:21" ht="16.5" thickBot="1">
      <c r="A2" s="3"/>
      <c r="B2" s="4" t="s">
        <v>56</v>
      </c>
      <c r="C2" s="4" t="s">
        <v>56</v>
      </c>
      <c r="D2" s="4" t="s">
        <v>56</v>
      </c>
      <c r="E2" s="4" t="s">
        <v>56</v>
      </c>
      <c r="F2" s="4" t="s">
        <v>56</v>
      </c>
      <c r="G2" s="4" t="s">
        <v>56</v>
      </c>
      <c r="H2" s="4" t="s">
        <v>56</v>
      </c>
      <c r="I2" s="4" t="s">
        <v>56</v>
      </c>
      <c r="J2" s="4" t="s">
        <v>56</v>
      </c>
      <c r="K2" s="4" t="s">
        <v>56</v>
      </c>
      <c r="L2" s="4" t="s">
        <v>56</v>
      </c>
      <c r="M2" s="4" t="s">
        <v>56</v>
      </c>
      <c r="N2" s="4" t="s">
        <v>56</v>
      </c>
      <c r="O2" s="4" t="s">
        <v>56</v>
      </c>
      <c r="P2" s="4" t="s">
        <v>56</v>
      </c>
      <c r="Q2" s="4" t="s">
        <v>56</v>
      </c>
      <c r="R2" s="4" t="s">
        <v>56</v>
      </c>
      <c r="S2" s="4" t="s">
        <v>56</v>
      </c>
      <c r="T2" s="4" t="s">
        <v>56</v>
      </c>
      <c r="U2" s="4" t="s">
        <v>56</v>
      </c>
    </row>
    <row r="3" spans="1:21" ht="16.5" thickBot="1">
      <c r="A3" s="3" t="s">
        <v>57</v>
      </c>
      <c r="B3" s="54">
        <v>101420.36</v>
      </c>
      <c r="C3" s="54">
        <f>'Bilancio EQUILIBRI EELL'!E7</f>
        <v>474981.36</v>
      </c>
      <c r="D3" s="54">
        <f>'Bilancio EQUILIBRI EELL'!F7</f>
        <v>474981.36</v>
      </c>
      <c r="E3" s="54">
        <f>'Bilancio EQUILIBRI EELL'!G7</f>
        <v>474290.56</v>
      </c>
      <c r="F3" s="54">
        <v>474290.56</v>
      </c>
      <c r="G3" s="54">
        <v>474290.56</v>
      </c>
      <c r="H3" s="54">
        <v>474290.56</v>
      </c>
      <c r="I3" s="54">
        <v>474290.56</v>
      </c>
      <c r="J3" s="54">
        <v>474290.56</v>
      </c>
      <c r="K3" s="54">
        <v>474290.56</v>
      </c>
      <c r="L3" s="54">
        <v>474290.56</v>
      </c>
      <c r="M3" s="54">
        <v>474290.56</v>
      </c>
      <c r="N3" s="54">
        <v>474290.56</v>
      </c>
      <c r="O3" s="54">
        <v>474290.56</v>
      </c>
      <c r="P3" s="54">
        <f>'Bilancio EQUILIBRI EELL'!R7</f>
        <v>456661.04</v>
      </c>
      <c r="Q3" s="54">
        <f>'Bilancio EQUILIBRI EELL'!S7</f>
        <v>74981.36</v>
      </c>
      <c r="R3" s="54">
        <v>74981.36</v>
      </c>
      <c r="S3" s="54">
        <v>74981.36</v>
      </c>
      <c r="T3" s="54">
        <v>74981.36</v>
      </c>
      <c r="U3" s="54">
        <v>74981.36</v>
      </c>
    </row>
    <row r="4" spans="1:21" ht="16.5" thickBot="1">
      <c r="A4" s="3" t="s">
        <v>29</v>
      </c>
      <c r="B4" s="54">
        <f>SUM(B6:B13)</f>
        <v>3776372.37</v>
      </c>
      <c r="C4" s="54">
        <f>SUM(C6:C13)</f>
        <v>4324686.3100000005</v>
      </c>
      <c r="D4" s="54">
        <f t="shared" ref="D4:U4" si="2">SUM(D6:D13)</f>
        <v>4103777.9800000004</v>
      </c>
      <c r="E4" s="54">
        <f t="shared" si="2"/>
        <v>5038030.78</v>
      </c>
      <c r="F4" s="54">
        <f t="shared" si="2"/>
        <v>4188030.7800000003</v>
      </c>
      <c r="G4" s="54">
        <f t="shared" si="2"/>
        <v>4188030.7800000003</v>
      </c>
      <c r="H4" s="54">
        <f t="shared" si="2"/>
        <v>4188030.7800000003</v>
      </c>
      <c r="I4" s="54">
        <f t="shared" si="2"/>
        <v>4188030.7800000003</v>
      </c>
      <c r="J4" s="54">
        <f t="shared" si="2"/>
        <v>4188030.7800000003</v>
      </c>
      <c r="K4" s="54">
        <f t="shared" si="2"/>
        <v>4188030.7800000003</v>
      </c>
      <c r="L4" s="54">
        <f t="shared" si="2"/>
        <v>4188030.7800000003</v>
      </c>
      <c r="M4" s="54">
        <f t="shared" si="2"/>
        <v>4188030.7800000003</v>
      </c>
      <c r="N4" s="54">
        <f t="shared" si="2"/>
        <v>4121910.7800000003</v>
      </c>
      <c r="O4" s="54">
        <f t="shared" si="2"/>
        <v>4121910.7800000003</v>
      </c>
      <c r="P4" s="54">
        <f t="shared" si="2"/>
        <v>4139540.3000000003</v>
      </c>
      <c r="Q4" s="54">
        <f t="shared" si="2"/>
        <v>4521219.9800000004</v>
      </c>
      <c r="R4" s="54">
        <f t="shared" si="2"/>
        <v>4521219.9800000004</v>
      </c>
      <c r="S4" s="54">
        <f t="shared" si="2"/>
        <v>4521219.9800000004</v>
      </c>
      <c r="T4" s="54">
        <f t="shared" si="2"/>
        <v>4521219.9800000004</v>
      </c>
      <c r="U4" s="54">
        <f t="shared" si="2"/>
        <v>4521219.9800000004</v>
      </c>
    </row>
    <row r="5" spans="1:21" ht="16.5" thickBot="1">
      <c r="A5" s="5" t="s">
        <v>19</v>
      </c>
      <c r="B5" s="54"/>
      <c r="C5" s="54"/>
      <c r="D5" s="5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16.5" thickBot="1">
      <c r="A6" s="5" t="s">
        <v>30</v>
      </c>
      <c r="B6" s="54">
        <v>502722.52</v>
      </c>
      <c r="C6" s="54">
        <v>515922.52</v>
      </c>
      <c r="D6" s="54">
        <v>502722.52</v>
      </c>
      <c r="E6" s="54">
        <v>502722.52</v>
      </c>
      <c r="F6" s="54">
        <v>502722.52</v>
      </c>
      <c r="G6" s="54">
        <v>502722.52</v>
      </c>
      <c r="H6" s="54">
        <v>502722.52</v>
      </c>
      <c r="I6" s="54">
        <v>502722.52</v>
      </c>
      <c r="J6" s="54">
        <v>502722.52</v>
      </c>
      <c r="K6" s="54">
        <v>502722.52</v>
      </c>
      <c r="L6" s="54">
        <v>502722.52</v>
      </c>
      <c r="M6" s="54">
        <v>502722.52</v>
      </c>
      <c r="N6" s="54">
        <v>502722.52</v>
      </c>
      <c r="O6" s="54">
        <v>502722.52</v>
      </c>
      <c r="P6" s="54">
        <v>502722.52</v>
      </c>
      <c r="Q6" s="54">
        <v>502722.52</v>
      </c>
      <c r="R6" s="54">
        <v>502722.52</v>
      </c>
      <c r="S6" s="54">
        <v>502722.52</v>
      </c>
      <c r="T6" s="54">
        <v>502722.52</v>
      </c>
      <c r="U6" s="54">
        <v>502722.52</v>
      </c>
    </row>
    <row r="7" spans="1:21" ht="16.5" thickBot="1">
      <c r="A7" s="5" t="s">
        <v>31</v>
      </c>
      <c r="B7" s="54">
        <v>35586</v>
      </c>
      <c r="C7" s="54">
        <v>36436</v>
      </c>
      <c r="D7" s="54">
        <v>35586</v>
      </c>
      <c r="E7" s="54">
        <v>35586</v>
      </c>
      <c r="F7" s="54">
        <v>35586</v>
      </c>
      <c r="G7" s="54">
        <v>35586</v>
      </c>
      <c r="H7" s="54">
        <v>35586</v>
      </c>
      <c r="I7" s="54">
        <v>35586</v>
      </c>
      <c r="J7" s="54">
        <v>35586</v>
      </c>
      <c r="K7" s="54">
        <v>35586</v>
      </c>
      <c r="L7" s="54">
        <v>35586</v>
      </c>
      <c r="M7" s="54">
        <v>35586</v>
      </c>
      <c r="N7" s="54">
        <v>35586</v>
      </c>
      <c r="O7" s="54">
        <v>35586</v>
      </c>
      <c r="P7" s="54">
        <v>35586</v>
      </c>
      <c r="Q7" s="54">
        <v>35586</v>
      </c>
      <c r="R7" s="54">
        <v>35586</v>
      </c>
      <c r="S7" s="54">
        <v>35586</v>
      </c>
      <c r="T7" s="54">
        <v>35586</v>
      </c>
      <c r="U7" s="54">
        <v>35586</v>
      </c>
    </row>
    <row r="8" spans="1:21" ht="16.5" thickBot="1">
      <c r="A8" s="5" t="s">
        <v>32</v>
      </c>
      <c r="B8" s="54">
        <v>1495960.15</v>
      </c>
      <c r="C8" s="54">
        <v>1383173.25</v>
      </c>
      <c r="D8" s="54">
        <v>1375173.65</v>
      </c>
      <c r="E8" s="54">
        <v>1375173.65</v>
      </c>
      <c r="F8" s="54">
        <v>1375173.65</v>
      </c>
      <c r="G8" s="54">
        <v>1375173.65</v>
      </c>
      <c r="H8" s="54">
        <v>1375173.65</v>
      </c>
      <c r="I8" s="54">
        <v>1375173.65</v>
      </c>
      <c r="J8" s="54">
        <v>1375173.65</v>
      </c>
      <c r="K8" s="54">
        <v>1375173.65</v>
      </c>
      <c r="L8" s="54">
        <v>1375173.65</v>
      </c>
      <c r="M8" s="54">
        <v>1375173.65</v>
      </c>
      <c r="N8" s="54">
        <v>1375173.65</v>
      </c>
      <c r="O8" s="54">
        <v>1375173.65</v>
      </c>
      <c r="P8" s="54">
        <v>1375173.65</v>
      </c>
      <c r="Q8" s="54">
        <v>1375173.65</v>
      </c>
      <c r="R8" s="54">
        <v>1375173.65</v>
      </c>
      <c r="S8" s="54">
        <v>1375173.65</v>
      </c>
      <c r="T8" s="54">
        <v>1375173.65</v>
      </c>
      <c r="U8" s="54">
        <v>1375173.65</v>
      </c>
    </row>
    <row r="9" spans="1:21" ht="16.5" thickBot="1">
      <c r="A9" s="5" t="s">
        <v>33</v>
      </c>
      <c r="B9" s="54">
        <v>65521.62</v>
      </c>
      <c r="C9" s="54">
        <v>65521.62</v>
      </c>
      <c r="D9" s="54">
        <v>131641.62</v>
      </c>
      <c r="E9" s="54">
        <v>131641.62</v>
      </c>
      <c r="F9" s="54">
        <v>131641.62</v>
      </c>
      <c r="G9" s="54">
        <v>131641.62</v>
      </c>
      <c r="H9" s="54">
        <v>131641.62</v>
      </c>
      <c r="I9" s="54">
        <v>131641.62</v>
      </c>
      <c r="J9" s="54">
        <v>131641.62</v>
      </c>
      <c r="K9" s="54">
        <v>131641.62</v>
      </c>
      <c r="L9" s="54">
        <v>131641.62</v>
      </c>
      <c r="M9" s="54">
        <v>131641.62</v>
      </c>
      <c r="N9" s="54">
        <f>131641.62-66120</f>
        <v>65521.619999999995</v>
      </c>
      <c r="O9" s="54">
        <f t="shared" ref="O9:U9" si="3">131641.62-66120</f>
        <v>65521.619999999995</v>
      </c>
      <c r="P9" s="54">
        <f t="shared" si="3"/>
        <v>65521.619999999995</v>
      </c>
      <c r="Q9" s="54">
        <f t="shared" si="3"/>
        <v>65521.619999999995</v>
      </c>
      <c r="R9" s="54">
        <f t="shared" si="3"/>
        <v>65521.619999999995</v>
      </c>
      <c r="S9" s="54">
        <f t="shared" si="3"/>
        <v>65521.619999999995</v>
      </c>
      <c r="T9" s="54">
        <f t="shared" si="3"/>
        <v>65521.619999999995</v>
      </c>
      <c r="U9" s="54">
        <f t="shared" si="3"/>
        <v>65521.619999999995</v>
      </c>
    </row>
    <row r="10" spans="1:21" ht="16.5" thickBot="1">
      <c r="A10" s="5" t="s">
        <v>34</v>
      </c>
      <c r="B10" s="54">
        <v>182547.79</v>
      </c>
      <c r="C10" s="54">
        <v>176833.04</v>
      </c>
      <c r="D10" s="54">
        <v>208464.62</v>
      </c>
      <c r="E10" s="54">
        <v>208464.62</v>
      </c>
      <c r="F10" s="54">
        <v>208464.62</v>
      </c>
      <c r="G10" s="54">
        <v>208464.62</v>
      </c>
      <c r="H10" s="54">
        <v>208464.62</v>
      </c>
      <c r="I10" s="54">
        <v>208464.62</v>
      </c>
      <c r="J10" s="54">
        <v>208464.62</v>
      </c>
      <c r="K10" s="54">
        <v>208464.62</v>
      </c>
      <c r="L10" s="54">
        <v>208464.62</v>
      </c>
      <c r="M10" s="54">
        <v>208464.62</v>
      </c>
      <c r="N10" s="54">
        <v>208464.62</v>
      </c>
      <c r="O10" s="54">
        <v>208464.62</v>
      </c>
      <c r="P10" s="54">
        <v>208464.62</v>
      </c>
      <c r="Q10" s="54">
        <v>208464.62</v>
      </c>
      <c r="R10" s="54">
        <v>208464.62</v>
      </c>
      <c r="S10" s="54">
        <v>208464.62</v>
      </c>
      <c r="T10" s="54">
        <v>208464.62</v>
      </c>
      <c r="U10" s="54">
        <v>208464.62</v>
      </c>
    </row>
    <row r="11" spans="1:21" ht="16.5" thickBot="1">
      <c r="A11" s="5" t="s">
        <v>35</v>
      </c>
      <c r="B11" s="54"/>
      <c r="C11" s="54"/>
      <c r="D11" s="5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16.5" thickBot="1">
      <c r="A12" s="5" t="s">
        <v>36</v>
      </c>
      <c r="B12" s="54">
        <v>2000</v>
      </c>
      <c r="C12" s="54">
        <v>2000</v>
      </c>
      <c r="D12" s="54">
        <v>2000</v>
      </c>
      <c r="E12" s="54">
        <v>2000</v>
      </c>
      <c r="F12" s="54">
        <v>2000</v>
      </c>
      <c r="G12" s="54">
        <v>2000</v>
      </c>
      <c r="H12" s="54">
        <v>2000</v>
      </c>
      <c r="I12" s="54">
        <v>2000</v>
      </c>
      <c r="J12" s="54">
        <v>2000</v>
      </c>
      <c r="K12" s="54">
        <v>2000</v>
      </c>
      <c r="L12" s="54">
        <v>2000</v>
      </c>
      <c r="M12" s="54">
        <v>2000</v>
      </c>
      <c r="N12" s="54">
        <v>2000</v>
      </c>
      <c r="O12" s="54">
        <v>2000</v>
      </c>
      <c r="P12" s="54">
        <v>2000</v>
      </c>
      <c r="Q12" s="54">
        <v>2000</v>
      </c>
      <c r="R12" s="54">
        <v>2000</v>
      </c>
      <c r="S12" s="54">
        <v>2000</v>
      </c>
      <c r="T12" s="54">
        <v>2000</v>
      </c>
      <c r="U12" s="54">
        <v>2000</v>
      </c>
    </row>
    <row r="13" spans="1:21" ht="16.5" thickBot="1">
      <c r="A13" s="5" t="s">
        <v>37</v>
      </c>
      <c r="B13" s="54">
        <v>1492034.29</v>
      </c>
      <c r="C13" s="54">
        <v>2144799.88</v>
      </c>
      <c r="D13" s="54">
        <v>1848189.57</v>
      </c>
      <c r="E13" s="54">
        <v>2782442.37</v>
      </c>
      <c r="F13" s="54">
        <f>2782442.37-850000</f>
        <v>1932442.37</v>
      </c>
      <c r="G13" s="54">
        <f t="shared" ref="G13:O13" si="4">2782442.37-850000</f>
        <v>1932442.37</v>
      </c>
      <c r="H13" s="54">
        <f t="shared" si="4"/>
        <v>1932442.37</v>
      </c>
      <c r="I13" s="54">
        <f t="shared" si="4"/>
        <v>1932442.37</v>
      </c>
      <c r="J13" s="54">
        <f t="shared" si="4"/>
        <v>1932442.37</v>
      </c>
      <c r="K13" s="54">
        <f t="shared" si="4"/>
        <v>1932442.37</v>
      </c>
      <c r="L13" s="54">
        <f t="shared" si="4"/>
        <v>1932442.37</v>
      </c>
      <c r="M13" s="54">
        <f t="shared" si="4"/>
        <v>1932442.37</v>
      </c>
      <c r="N13" s="54">
        <f>2782442.37-850000</f>
        <v>1932442.37</v>
      </c>
      <c r="O13" s="54">
        <f t="shared" si="4"/>
        <v>1932442.37</v>
      </c>
      <c r="P13" s="54">
        <f>2782442.37-850000+17629.52</f>
        <v>1950071.8900000001</v>
      </c>
      <c r="Q13" s="54">
        <f>2782442.37-850000+399309.2</f>
        <v>2331751.5700000003</v>
      </c>
      <c r="R13" s="54">
        <f t="shared" ref="R13:U13" si="5">2782442.37-850000+399309.2</f>
        <v>2331751.5700000003</v>
      </c>
      <c r="S13" s="54">
        <f t="shared" si="5"/>
        <v>2331751.5700000003</v>
      </c>
      <c r="T13" s="54">
        <f t="shared" si="5"/>
        <v>2331751.5700000003</v>
      </c>
      <c r="U13" s="54">
        <f t="shared" si="5"/>
        <v>2331751.5700000003</v>
      </c>
    </row>
    <row r="14" spans="1:21" ht="16.5" thickBot="1">
      <c r="A14" s="5" t="s">
        <v>38</v>
      </c>
      <c r="B14" s="54"/>
      <c r="C14" s="54"/>
      <c r="D14" s="5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6.5" thickBot="1">
      <c r="A15" s="5" t="s">
        <v>39</v>
      </c>
      <c r="B15" s="54">
        <v>687469.06</v>
      </c>
      <c r="C15" s="130">
        <f>'Bilancio EQUILIBRI EELL'!E17</f>
        <v>1506579.12</v>
      </c>
      <c r="D15" s="130">
        <f>'Bilancio EQUILIBRI EELL'!F17</f>
        <v>1424277.1</v>
      </c>
      <c r="E15" s="130">
        <f>'Bilancio EQUILIBRI EELL'!G17</f>
        <v>2144212.9900000002</v>
      </c>
      <c r="F15" s="130">
        <f>2144212.99-850000</f>
        <v>1294212.9900000002</v>
      </c>
      <c r="G15" s="130">
        <f t="shared" ref="G15:U15" si="6">2144212.99-850000</f>
        <v>1294212.9900000002</v>
      </c>
      <c r="H15" s="130">
        <f t="shared" si="6"/>
        <v>1294212.9900000002</v>
      </c>
      <c r="I15" s="130">
        <f t="shared" si="6"/>
        <v>1294212.9900000002</v>
      </c>
      <c r="J15" s="130">
        <f t="shared" si="6"/>
        <v>1294212.9900000002</v>
      </c>
      <c r="K15" s="130">
        <f t="shared" si="6"/>
        <v>1294212.9900000002</v>
      </c>
      <c r="L15" s="130">
        <f t="shared" si="6"/>
        <v>1294212.9900000002</v>
      </c>
      <c r="M15" s="130">
        <f t="shared" si="6"/>
        <v>1294212.9900000002</v>
      </c>
      <c r="N15" s="130">
        <f t="shared" si="6"/>
        <v>1294212.9900000002</v>
      </c>
      <c r="O15" s="130">
        <f t="shared" si="6"/>
        <v>1294212.9900000002</v>
      </c>
      <c r="P15" s="130">
        <f>2144212.99-850000</f>
        <v>1294212.9900000002</v>
      </c>
      <c r="Q15" s="130">
        <f t="shared" si="6"/>
        <v>1294212.9900000002</v>
      </c>
      <c r="R15" s="130">
        <f t="shared" si="6"/>
        <v>1294212.9900000002</v>
      </c>
      <c r="S15" s="130">
        <f t="shared" si="6"/>
        <v>1294212.9900000002</v>
      </c>
      <c r="T15" s="130">
        <f t="shared" si="6"/>
        <v>1294212.9900000002</v>
      </c>
      <c r="U15" s="130">
        <f t="shared" si="6"/>
        <v>1294212.9900000002</v>
      </c>
    </row>
    <row r="16" spans="1:21" ht="23.25" thickBot="1">
      <c r="A16" s="5" t="s">
        <v>40</v>
      </c>
      <c r="B16" s="54"/>
      <c r="C16" s="130">
        <f>'Hp Ripiano Coperture'!D7</f>
        <v>293411.01</v>
      </c>
      <c r="D16" s="130">
        <f>'Hp Ripiano Coperture'!E7</f>
        <v>110072.42000000001</v>
      </c>
      <c r="E16" s="130">
        <f>'Hp Ripiano Coperture'!F7</f>
        <v>370509.74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</row>
    <row r="17" spans="1:21" ht="16.5" thickBot="1">
      <c r="A17" s="5" t="s">
        <v>41</v>
      </c>
      <c r="B17" s="54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</row>
    <row r="18" spans="1:21" ht="16.5" thickBot="1">
      <c r="A18" s="5" t="s">
        <v>42</v>
      </c>
      <c r="B18" s="130">
        <f>B13-B15-B20</f>
        <v>243059.47999999998</v>
      </c>
      <c r="C18" s="130">
        <f>41390.75+74096.59+18576.52+2208</f>
        <v>136271.85999999999</v>
      </c>
      <c r="D18" s="130">
        <f t="shared" ref="D18:U18" si="7">41390.75+74096.59+18576.52+2208</f>
        <v>136271.85999999999</v>
      </c>
      <c r="E18" s="130">
        <f t="shared" si="7"/>
        <v>136271.85999999999</v>
      </c>
      <c r="F18" s="130">
        <f t="shared" si="7"/>
        <v>136271.85999999999</v>
      </c>
      <c r="G18" s="130">
        <f t="shared" si="7"/>
        <v>136271.85999999999</v>
      </c>
      <c r="H18" s="130">
        <f t="shared" si="7"/>
        <v>136271.85999999999</v>
      </c>
      <c r="I18" s="130">
        <f t="shared" si="7"/>
        <v>136271.85999999999</v>
      </c>
      <c r="J18" s="130">
        <f t="shared" si="7"/>
        <v>136271.85999999999</v>
      </c>
      <c r="K18" s="130">
        <f t="shared" si="7"/>
        <v>136271.85999999999</v>
      </c>
      <c r="L18" s="130">
        <f t="shared" si="7"/>
        <v>136271.85999999999</v>
      </c>
      <c r="M18" s="130">
        <f t="shared" si="7"/>
        <v>136271.85999999999</v>
      </c>
      <c r="N18" s="130">
        <f t="shared" si="7"/>
        <v>136271.85999999999</v>
      </c>
      <c r="O18" s="130">
        <f t="shared" si="7"/>
        <v>136271.85999999999</v>
      </c>
      <c r="P18" s="130">
        <f t="shared" si="7"/>
        <v>136271.85999999999</v>
      </c>
      <c r="Q18" s="130">
        <f t="shared" si="7"/>
        <v>136271.85999999999</v>
      </c>
      <c r="R18" s="130">
        <f t="shared" si="7"/>
        <v>136271.85999999999</v>
      </c>
      <c r="S18" s="130">
        <f t="shared" si="7"/>
        <v>136271.85999999999</v>
      </c>
      <c r="T18" s="130">
        <f t="shared" si="7"/>
        <v>136271.85999999999</v>
      </c>
      <c r="U18" s="130">
        <f t="shared" si="7"/>
        <v>136271.85999999999</v>
      </c>
    </row>
    <row r="19" spans="1:21" ht="16.5" thickBot="1">
      <c r="A19" s="5" t="s">
        <v>43</v>
      </c>
      <c r="B19" s="54"/>
      <c r="C19" s="130"/>
      <c r="D19" s="130"/>
      <c r="E19" s="132"/>
      <c r="F19" s="130">
        <f>F13-F15-F16-F17-F18-F20-F21</f>
        <v>348962.89999999985</v>
      </c>
      <c r="G19" s="130">
        <f t="shared" ref="G19:U19" si="8">G13-G15-G16-G17-G18-G20-G21</f>
        <v>353652.91999999987</v>
      </c>
      <c r="H19" s="130">
        <f t="shared" si="8"/>
        <v>386178.0199999999</v>
      </c>
      <c r="I19" s="130">
        <f t="shared" si="8"/>
        <v>386178.0199999999</v>
      </c>
      <c r="J19" s="130">
        <f t="shared" si="8"/>
        <v>386178.0199999999</v>
      </c>
      <c r="K19" s="130">
        <f t="shared" si="8"/>
        <v>386177.97999999992</v>
      </c>
      <c r="L19" s="130">
        <f t="shared" si="8"/>
        <v>416764.00999999989</v>
      </c>
      <c r="M19" s="130">
        <f t="shared" si="8"/>
        <v>446934.03999999986</v>
      </c>
      <c r="N19" s="130">
        <f t="shared" si="8"/>
        <v>454022.47999999986</v>
      </c>
      <c r="O19" s="130">
        <f t="shared" si="8"/>
        <v>454022.47999999986</v>
      </c>
      <c r="P19" s="130">
        <f t="shared" si="8"/>
        <v>471651.99999999988</v>
      </c>
      <c r="Q19" s="130">
        <f t="shared" si="8"/>
        <v>853331.68000000017</v>
      </c>
      <c r="R19" s="130">
        <f t="shared" si="8"/>
        <v>853331.68000000017</v>
      </c>
      <c r="S19" s="130">
        <f t="shared" si="8"/>
        <v>853331.68000000017</v>
      </c>
      <c r="T19" s="130">
        <f t="shared" si="8"/>
        <v>853331.17000000016</v>
      </c>
      <c r="U19" s="130">
        <f t="shared" si="8"/>
        <v>874878.52000000014</v>
      </c>
    </row>
    <row r="20" spans="1:21" ht="16.5" thickBot="1">
      <c r="A20" s="5" t="s">
        <v>44</v>
      </c>
      <c r="B20" s="54">
        <v>561505.75</v>
      </c>
      <c r="C20" s="130">
        <f>'Hp Ripiano Coperture'!D4+'Hp Ripiano Coperture'!D5</f>
        <v>172434.15999999997</v>
      </c>
      <c r="D20" s="130">
        <f>'Hp Ripiano Coperture'!E4+'Hp Ripiano Coperture'!E5</f>
        <v>151179.99</v>
      </c>
      <c r="E20" s="130">
        <f>'Hp Ripiano Coperture'!F4+'Hp Ripiano Coperture'!F5</f>
        <v>105059.57999999999</v>
      </c>
      <c r="F20" s="130">
        <f>'Hp Ripiano Coperture'!G4+'Hp Ripiano Coperture'!G5</f>
        <v>126606.42000000001</v>
      </c>
      <c r="G20" s="130">
        <f>'Hp Ripiano Coperture'!H4+'Hp Ripiano Coperture'!H5</f>
        <v>121916.4</v>
      </c>
      <c r="H20" s="130">
        <f>'Hp Ripiano Coperture'!I4+'Hp Ripiano Coperture'!I5</f>
        <v>89391.299999999988</v>
      </c>
      <c r="I20" s="130">
        <f>'Hp Ripiano Coperture'!J4+'Hp Ripiano Coperture'!J5</f>
        <v>89391.299999999988</v>
      </c>
      <c r="J20" s="130">
        <f>'Hp Ripiano Coperture'!K4+'Hp Ripiano Coperture'!K5</f>
        <v>89391.299999999988</v>
      </c>
      <c r="K20" s="130">
        <f>'Hp Ripiano Coperture'!L4+'Hp Ripiano Coperture'!L5</f>
        <v>89391.34</v>
      </c>
      <c r="L20" s="130">
        <f>'Hp Ripiano Coperture'!M4+'Hp Ripiano Coperture'!M5</f>
        <v>58805.31</v>
      </c>
      <c r="M20" s="130">
        <f>'Hp Ripiano Coperture'!N5</f>
        <v>28635.279999999999</v>
      </c>
      <c r="N20" s="130">
        <f>'Hp Ripiano Coperture'!O5</f>
        <v>21546.84</v>
      </c>
      <c r="O20" s="130">
        <f>'Hp Ripiano Coperture'!P5</f>
        <v>21546.84</v>
      </c>
      <c r="P20" s="130">
        <f>'Hp Ripiano Coperture'!Q5</f>
        <v>21546.84</v>
      </c>
      <c r="Q20" s="130">
        <f>'Hp Ripiano Coperture'!R5</f>
        <v>21546.84</v>
      </c>
      <c r="R20" s="132">
        <f>'Hp Ripiano Coperture'!S5</f>
        <v>21546.84</v>
      </c>
      <c r="S20" s="132">
        <f>'Hp Ripiano Coperture'!T5</f>
        <v>21546.84</v>
      </c>
      <c r="T20" s="132">
        <f>'Hp Ripiano Coperture'!U5</f>
        <v>21547.350000000002</v>
      </c>
      <c r="U20" s="132"/>
    </row>
    <row r="21" spans="1:21" ht="16.5" thickBot="1">
      <c r="A21" s="5" t="s">
        <v>45</v>
      </c>
      <c r="B21" s="54"/>
      <c r="C21" s="130">
        <v>36103.730000000003</v>
      </c>
      <c r="D21" s="130">
        <f>36103.73-9715.53</f>
        <v>26388.200000000004</v>
      </c>
      <c r="E21" s="130">
        <f>36103.73-9715.53</f>
        <v>26388.200000000004</v>
      </c>
      <c r="F21" s="130">
        <f t="shared" ref="F21:U21" si="9">36103.73-9715.53</f>
        <v>26388.200000000004</v>
      </c>
      <c r="G21" s="130">
        <f t="shared" si="9"/>
        <v>26388.200000000004</v>
      </c>
      <c r="H21" s="130">
        <f t="shared" si="9"/>
        <v>26388.200000000004</v>
      </c>
      <c r="I21" s="130">
        <f t="shared" si="9"/>
        <v>26388.200000000004</v>
      </c>
      <c r="J21" s="130">
        <f t="shared" si="9"/>
        <v>26388.200000000004</v>
      </c>
      <c r="K21" s="130">
        <f t="shared" si="9"/>
        <v>26388.200000000004</v>
      </c>
      <c r="L21" s="130">
        <f t="shared" si="9"/>
        <v>26388.200000000004</v>
      </c>
      <c r="M21" s="130">
        <f t="shared" si="9"/>
        <v>26388.200000000004</v>
      </c>
      <c r="N21" s="130">
        <f t="shared" si="9"/>
        <v>26388.200000000004</v>
      </c>
      <c r="O21" s="130">
        <f t="shared" si="9"/>
        <v>26388.200000000004</v>
      </c>
      <c r="P21" s="130">
        <f t="shared" si="9"/>
        <v>26388.200000000004</v>
      </c>
      <c r="Q21" s="130">
        <f t="shared" si="9"/>
        <v>26388.200000000004</v>
      </c>
      <c r="R21" s="130">
        <f t="shared" si="9"/>
        <v>26388.200000000004</v>
      </c>
      <c r="S21" s="130">
        <f t="shared" si="9"/>
        <v>26388.200000000004</v>
      </c>
      <c r="T21" s="130">
        <f t="shared" si="9"/>
        <v>26388.200000000004</v>
      </c>
      <c r="U21" s="130">
        <f t="shared" si="9"/>
        <v>26388.200000000004</v>
      </c>
    </row>
    <row r="22" spans="1:21" ht="16.5" thickBot="1">
      <c r="A22" s="3" t="s">
        <v>46</v>
      </c>
      <c r="B22" s="54">
        <v>4125637.15</v>
      </c>
      <c r="C22" s="54">
        <v>1085000</v>
      </c>
      <c r="D22" s="54">
        <v>165000</v>
      </c>
      <c r="E22" s="54">
        <v>165000</v>
      </c>
      <c r="F22" s="54">
        <v>165000</v>
      </c>
      <c r="G22" s="54">
        <v>165000</v>
      </c>
      <c r="H22" s="54">
        <v>165000</v>
      </c>
      <c r="I22" s="54">
        <v>165000</v>
      </c>
      <c r="J22" s="54">
        <v>165000</v>
      </c>
      <c r="K22" s="54">
        <v>165000</v>
      </c>
      <c r="L22" s="54">
        <v>165000</v>
      </c>
      <c r="M22" s="54">
        <v>165000</v>
      </c>
      <c r="N22" s="54">
        <v>165000</v>
      </c>
      <c r="O22" s="54">
        <v>165000</v>
      </c>
      <c r="P22" s="54">
        <v>165000</v>
      </c>
      <c r="Q22" s="54">
        <v>165000</v>
      </c>
      <c r="R22" s="54">
        <v>165000</v>
      </c>
      <c r="S22" s="54">
        <v>165000</v>
      </c>
      <c r="T22" s="54">
        <v>165000</v>
      </c>
      <c r="U22" s="54">
        <v>165000</v>
      </c>
    </row>
    <row r="23" spans="1:21">
      <c r="A23" s="6" t="s">
        <v>19</v>
      </c>
      <c r="B23" s="145"/>
      <c r="C23" s="145"/>
      <c r="D23" s="145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</row>
    <row r="24" spans="1:21" ht="16.5" thickBot="1">
      <c r="A24" s="5" t="s">
        <v>47</v>
      </c>
      <c r="B24" s="146"/>
      <c r="C24" s="146"/>
      <c r="D24" s="146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</row>
    <row r="25" spans="1:21" ht="23.25" thickBot="1">
      <c r="A25" s="5" t="s">
        <v>48</v>
      </c>
      <c r="B25" s="54"/>
      <c r="C25" s="54"/>
      <c r="D25" s="5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ht="16.5" thickBot="1">
      <c r="A26" s="5" t="s">
        <v>49</v>
      </c>
      <c r="B26" s="54"/>
      <c r="C26" s="54"/>
      <c r="D26" s="5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ht="16.5" thickBot="1">
      <c r="A27" s="3" t="s">
        <v>50</v>
      </c>
      <c r="B27" s="54"/>
      <c r="C27" s="54"/>
      <c r="D27" s="5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ht="16.5" thickBot="1">
      <c r="A28" s="3" t="s">
        <v>51</v>
      </c>
      <c r="B28" s="54">
        <v>256335.19</v>
      </c>
      <c r="C28" s="54">
        <v>923852.29</v>
      </c>
      <c r="D28" s="54">
        <v>268616.71999999997</v>
      </c>
      <c r="E28" s="54">
        <v>268616.71999999997</v>
      </c>
      <c r="F28" s="54">
        <v>268616.71999999997</v>
      </c>
      <c r="G28" s="54">
        <v>268616.71999999997</v>
      </c>
      <c r="H28" s="54">
        <v>268616.71999999997</v>
      </c>
      <c r="I28" s="54">
        <v>268616.71999999997</v>
      </c>
      <c r="J28" s="54">
        <v>268616.71999999997</v>
      </c>
      <c r="K28" s="54">
        <v>268616.71999999997</v>
      </c>
      <c r="L28" s="54">
        <v>268616.71999999997</v>
      </c>
      <c r="M28" s="54">
        <v>268616.71999999997</v>
      </c>
      <c r="N28" s="54">
        <v>268616.71999999997</v>
      </c>
      <c r="O28" s="54">
        <v>268616.71999999997</v>
      </c>
      <c r="P28" s="54">
        <v>268616.71999999997</v>
      </c>
      <c r="Q28" s="54">
        <v>268616.71999999997</v>
      </c>
      <c r="R28" s="54">
        <v>268616.71999999997</v>
      </c>
      <c r="S28" s="54">
        <v>268616.71999999997</v>
      </c>
      <c r="T28" s="54">
        <v>268616.71999999997</v>
      </c>
      <c r="U28" s="54">
        <v>268616.71999999997</v>
      </c>
    </row>
    <row r="29" spans="1:21">
      <c r="A29" s="6" t="s">
        <v>19</v>
      </c>
      <c r="B29" s="145"/>
      <c r="C29" s="155">
        <v>661200</v>
      </c>
      <c r="D29" s="145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</row>
    <row r="30" spans="1:21" ht="16.5" thickBot="1">
      <c r="A30" s="5" t="s">
        <v>20</v>
      </c>
      <c r="B30" s="146"/>
      <c r="C30" s="156"/>
      <c r="D30" s="146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</row>
    <row r="31" spans="1:21" ht="16.5" thickBot="1">
      <c r="A31" s="5" t="s">
        <v>52</v>
      </c>
      <c r="B31" s="54"/>
      <c r="C31" s="54"/>
      <c r="D31" s="5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ht="23.25" thickBot="1">
      <c r="A32" s="3" t="s">
        <v>53</v>
      </c>
      <c r="B32" s="54">
        <v>939372.15</v>
      </c>
      <c r="C32" s="54">
        <v>1329347.2</v>
      </c>
      <c r="D32" s="54">
        <v>1329347.2</v>
      </c>
      <c r="E32" s="54">
        <v>1329347.2</v>
      </c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</row>
    <row r="33" spans="1:21" ht="16.5" thickBot="1">
      <c r="A33" s="3" t="s">
        <v>54</v>
      </c>
      <c r="B33" s="54">
        <v>3911000</v>
      </c>
      <c r="C33" s="54">
        <v>3911000</v>
      </c>
      <c r="D33" s="54">
        <v>3911000</v>
      </c>
      <c r="E33" s="54">
        <v>3911000</v>
      </c>
      <c r="F33" s="54">
        <v>3911000</v>
      </c>
      <c r="G33" s="54">
        <v>3911000</v>
      </c>
      <c r="H33" s="54">
        <v>3911000</v>
      </c>
      <c r="I33" s="54">
        <v>3911000</v>
      </c>
      <c r="J33" s="54">
        <v>3911000</v>
      </c>
      <c r="K33" s="54">
        <v>3911000</v>
      </c>
      <c r="L33" s="54">
        <v>3911000</v>
      </c>
      <c r="M33" s="54">
        <v>3911000</v>
      </c>
      <c r="N33" s="54">
        <v>3911000</v>
      </c>
      <c r="O33" s="54">
        <v>3911000</v>
      </c>
      <c r="P33" s="54">
        <v>3911000</v>
      </c>
      <c r="Q33" s="54">
        <v>3911000</v>
      </c>
      <c r="R33" s="54">
        <v>3911000</v>
      </c>
      <c r="S33" s="54">
        <v>3911000</v>
      </c>
      <c r="T33" s="54">
        <v>3911000</v>
      </c>
      <c r="U33" s="54">
        <v>3911000</v>
      </c>
    </row>
    <row r="34" spans="1:21" ht="16.5" thickBot="1">
      <c r="A34" s="7" t="s">
        <v>26</v>
      </c>
      <c r="B34" s="54">
        <f>B3+B4+B22+B28+B32+B33</f>
        <v>13110137.220000001</v>
      </c>
      <c r="C34" s="54">
        <f t="shared" ref="C34:J34" si="10">C3+C4+C22+C28+C32+C33</f>
        <v>12048867.16</v>
      </c>
      <c r="D34" s="54">
        <f t="shared" si="10"/>
        <v>10252723.260000002</v>
      </c>
      <c r="E34" s="54">
        <f t="shared" si="10"/>
        <v>11186285.26</v>
      </c>
      <c r="F34" s="54">
        <f t="shared" si="10"/>
        <v>9006938.0599999987</v>
      </c>
      <c r="G34" s="54">
        <f t="shared" si="10"/>
        <v>9006938.0599999987</v>
      </c>
      <c r="H34" s="54">
        <f t="shared" si="10"/>
        <v>9006938.0599999987</v>
      </c>
      <c r="I34" s="54">
        <f t="shared" si="10"/>
        <v>9006938.0599999987</v>
      </c>
      <c r="J34" s="54">
        <f t="shared" si="10"/>
        <v>9006938.0599999987</v>
      </c>
      <c r="K34" s="54">
        <f t="shared" ref="K34:U34" si="11">K3+K4+K22+K28+K32+K33</f>
        <v>9006938.0599999987</v>
      </c>
      <c r="L34" s="54">
        <f t="shared" si="11"/>
        <v>9006938.0599999987</v>
      </c>
      <c r="M34" s="54">
        <f t="shared" si="11"/>
        <v>9006938.0599999987</v>
      </c>
      <c r="N34" s="54">
        <f t="shared" si="11"/>
        <v>8940818.0599999987</v>
      </c>
      <c r="O34" s="54">
        <f t="shared" si="11"/>
        <v>8940818.0599999987</v>
      </c>
      <c r="P34" s="54">
        <f t="shared" si="11"/>
        <v>8940818.0599999987</v>
      </c>
      <c r="Q34" s="54">
        <f t="shared" si="11"/>
        <v>8940818.0600000005</v>
      </c>
      <c r="R34" s="54">
        <f t="shared" si="11"/>
        <v>8940818.0600000005</v>
      </c>
      <c r="S34" s="54">
        <f t="shared" si="11"/>
        <v>8940818.0600000005</v>
      </c>
      <c r="T34" s="54">
        <f t="shared" si="11"/>
        <v>8940818.0600000005</v>
      </c>
      <c r="U34" s="54">
        <f t="shared" si="11"/>
        <v>8940818.0600000005</v>
      </c>
    </row>
    <row r="35" spans="1:21" ht="16.5" thickBot="1">
      <c r="A35" s="60" t="s">
        <v>99</v>
      </c>
      <c r="B35" s="61">
        <f>'Previsione Entrate'!B28</f>
        <v>13110137.219999999</v>
      </c>
      <c r="C35" s="57">
        <f>'Previsione Entrate'!C28</f>
        <v>12048867.16</v>
      </c>
      <c r="D35" s="57">
        <f>'Previsione Entrate'!D28</f>
        <v>10252723.26</v>
      </c>
      <c r="E35" s="57">
        <f>'Previsione Entrate'!E28</f>
        <v>11186285.260000002</v>
      </c>
      <c r="F35" s="57">
        <f>'Previsione Entrate'!F28</f>
        <v>9006938.0600000005</v>
      </c>
      <c r="G35" s="57">
        <f>'Previsione Entrate'!G28</f>
        <v>9006938.0600000005</v>
      </c>
      <c r="H35" s="57">
        <f>'Previsione Entrate'!H28</f>
        <v>9006938.0600000005</v>
      </c>
      <c r="I35" s="57">
        <f>'Previsione Entrate'!I28</f>
        <v>9006938.0600000005</v>
      </c>
      <c r="J35" s="57">
        <f>'Previsione Entrate'!J28</f>
        <v>9006938.0600000005</v>
      </c>
      <c r="K35" s="57">
        <f>'Previsione Entrate'!K28</f>
        <v>9006938.0600000005</v>
      </c>
      <c r="L35" s="57">
        <f>'Previsione Entrate'!L28</f>
        <v>9006938.0600000005</v>
      </c>
      <c r="M35" s="57">
        <f>'Previsione Entrate'!M28</f>
        <v>9006938.0600000005</v>
      </c>
      <c r="N35" s="57">
        <f>'Previsione Entrate'!N28</f>
        <v>8940818.0600000005</v>
      </c>
      <c r="O35" s="57">
        <f>'Previsione Entrate'!O28</f>
        <v>8940818.0600000005</v>
      </c>
      <c r="P35" s="57">
        <f>'Previsione Entrate'!P28</f>
        <v>8940818.0600000005</v>
      </c>
      <c r="Q35" s="57">
        <f>'Previsione Entrate'!Q28</f>
        <v>8940818.0600000005</v>
      </c>
      <c r="R35" s="57">
        <f>'Previsione Entrate'!R28</f>
        <v>8940818.0600000005</v>
      </c>
      <c r="S35" s="57">
        <f>'Previsione Entrate'!S28</f>
        <v>8940818.0600000005</v>
      </c>
      <c r="T35" s="57">
        <f>'Previsione Entrate'!T28</f>
        <v>8940818.0600000005</v>
      </c>
      <c r="U35" s="57">
        <f>'Previsione Entrate'!U28</f>
        <v>8940818.0600000005</v>
      </c>
    </row>
    <row r="36" spans="1:21" ht="16.5" thickBot="1">
      <c r="B36" s="61">
        <f>B35-B34</f>
        <v>0</v>
      </c>
      <c r="C36" s="61">
        <f t="shared" ref="C36:J36" si="12">C35-C34</f>
        <v>0</v>
      </c>
      <c r="D36" s="61">
        <f t="shared" si="12"/>
        <v>0</v>
      </c>
      <c r="E36" s="61">
        <f t="shared" si="12"/>
        <v>0</v>
      </c>
      <c r="F36" s="61">
        <f t="shared" si="12"/>
        <v>0</v>
      </c>
      <c r="G36" s="61">
        <f t="shared" si="12"/>
        <v>0</v>
      </c>
      <c r="H36" s="61">
        <f t="shared" si="12"/>
        <v>0</v>
      </c>
      <c r="I36" s="61">
        <f t="shared" si="12"/>
        <v>0</v>
      </c>
      <c r="J36" s="61">
        <f t="shared" si="12"/>
        <v>0</v>
      </c>
      <c r="K36" s="61">
        <f t="shared" ref="K36:U36" si="13">K35-K34</f>
        <v>0</v>
      </c>
      <c r="L36" s="61">
        <f t="shared" si="13"/>
        <v>0</v>
      </c>
      <c r="M36" s="61">
        <f t="shared" si="13"/>
        <v>0</v>
      </c>
      <c r="N36" s="61">
        <f t="shared" si="13"/>
        <v>0</v>
      </c>
      <c r="O36" s="61">
        <f t="shared" si="13"/>
        <v>0</v>
      </c>
      <c r="P36" s="61">
        <f t="shared" si="13"/>
        <v>0</v>
      </c>
      <c r="Q36" s="61">
        <f t="shared" si="13"/>
        <v>0</v>
      </c>
      <c r="R36" s="61">
        <f t="shared" si="13"/>
        <v>0</v>
      </c>
      <c r="S36" s="61">
        <f t="shared" si="13"/>
        <v>0</v>
      </c>
      <c r="T36" s="61">
        <f t="shared" si="13"/>
        <v>0</v>
      </c>
      <c r="U36" s="61">
        <f t="shared" si="13"/>
        <v>0</v>
      </c>
    </row>
  </sheetData>
  <mergeCells count="40">
    <mergeCell ref="B23:B24"/>
    <mergeCell ref="B29:B30"/>
    <mergeCell ref="C29:C30"/>
    <mergeCell ref="C23:C24"/>
    <mergeCell ref="D23:D24"/>
    <mergeCell ref="D29:D30"/>
    <mergeCell ref="I23:I24"/>
    <mergeCell ref="I29:I30"/>
    <mergeCell ref="J29:J30"/>
    <mergeCell ref="J23:J24"/>
    <mergeCell ref="E23:E24"/>
    <mergeCell ref="H23:H24"/>
    <mergeCell ref="G23:G24"/>
    <mergeCell ref="G29:G30"/>
    <mergeCell ref="E29:E30"/>
    <mergeCell ref="F23:F24"/>
    <mergeCell ref="F29:F30"/>
    <mergeCell ref="H29:H30"/>
    <mergeCell ref="T23:T24"/>
    <mergeCell ref="K23:K24"/>
    <mergeCell ref="L23:L24"/>
    <mergeCell ref="M23:M24"/>
    <mergeCell ref="N23:N24"/>
    <mergeCell ref="O23:O24"/>
    <mergeCell ref="U23:U24"/>
    <mergeCell ref="K29:K30"/>
    <mergeCell ref="L29:L30"/>
    <mergeCell ref="M29:M30"/>
    <mergeCell ref="N29:N30"/>
    <mergeCell ref="O29:O30"/>
    <mergeCell ref="P29:P30"/>
    <mergeCell ref="Q29:Q30"/>
    <mergeCell ref="R29:R30"/>
    <mergeCell ref="S29:S30"/>
    <mergeCell ref="T29:T30"/>
    <mergeCell ref="U29:U30"/>
    <mergeCell ref="P23:P24"/>
    <mergeCell ref="Q23:Q24"/>
    <mergeCell ref="R23:R24"/>
    <mergeCell ref="S23:S24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V17"/>
  <sheetViews>
    <sheetView workbookViewId="0">
      <pane xSplit="1" topLeftCell="B1" activePane="topRight" state="frozen"/>
      <selection pane="topRight" activeCell="C26" sqref="C26"/>
    </sheetView>
  </sheetViews>
  <sheetFormatPr defaultColWidth="11" defaultRowHeight="15.75"/>
  <cols>
    <col min="1" max="1" width="62.125" customWidth="1"/>
    <col min="2" max="2" width="18" customWidth="1"/>
    <col min="3" max="22" width="16" customWidth="1"/>
  </cols>
  <sheetData>
    <row r="1" spans="1:22" ht="21.95" customHeight="1">
      <c r="A1" s="160" t="s">
        <v>100</v>
      </c>
      <c r="B1" s="159" t="s">
        <v>101</v>
      </c>
      <c r="C1" s="159" t="s">
        <v>102</v>
      </c>
      <c r="D1" s="159" t="s">
        <v>102</v>
      </c>
      <c r="E1" s="159" t="s">
        <v>102</v>
      </c>
      <c r="F1" s="159" t="s">
        <v>102</v>
      </c>
      <c r="G1" s="159" t="s">
        <v>102</v>
      </c>
      <c r="H1" s="159" t="s">
        <v>102</v>
      </c>
      <c r="I1" s="159" t="s">
        <v>102</v>
      </c>
      <c r="J1" s="159" t="s">
        <v>102</v>
      </c>
      <c r="K1" s="159" t="s">
        <v>102</v>
      </c>
      <c r="L1" s="159" t="s">
        <v>102</v>
      </c>
      <c r="M1" s="159" t="s">
        <v>102</v>
      </c>
      <c r="N1" s="159" t="s">
        <v>102</v>
      </c>
      <c r="O1" s="159" t="s">
        <v>102</v>
      </c>
      <c r="P1" s="159" t="s">
        <v>102</v>
      </c>
      <c r="Q1" s="159" t="s">
        <v>102</v>
      </c>
      <c r="R1" s="159" t="s">
        <v>102</v>
      </c>
      <c r="S1" s="159" t="s">
        <v>102</v>
      </c>
      <c r="T1" s="159" t="s">
        <v>102</v>
      </c>
      <c r="U1" s="159" t="s">
        <v>102</v>
      </c>
      <c r="V1" s="159" t="s">
        <v>102</v>
      </c>
    </row>
    <row r="2" spans="1:22" ht="18" customHeight="1">
      <c r="A2" s="161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</row>
    <row r="3" spans="1:22">
      <c r="A3" s="161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spans="1:22">
      <c r="A4" s="161"/>
      <c r="B4" s="157"/>
      <c r="C4" s="157">
        <v>2024</v>
      </c>
      <c r="D4" s="157">
        <f>C4+1</f>
        <v>2025</v>
      </c>
      <c r="E4" s="157">
        <f t="shared" ref="E4:L4" si="0">D4+1</f>
        <v>2026</v>
      </c>
      <c r="F4" s="157">
        <f t="shared" si="0"/>
        <v>2027</v>
      </c>
      <c r="G4" s="157">
        <f t="shared" si="0"/>
        <v>2028</v>
      </c>
      <c r="H4" s="157">
        <f t="shared" si="0"/>
        <v>2029</v>
      </c>
      <c r="I4" s="157">
        <f t="shared" si="0"/>
        <v>2030</v>
      </c>
      <c r="J4" s="157">
        <f t="shared" si="0"/>
        <v>2031</v>
      </c>
      <c r="K4" s="157">
        <f t="shared" si="0"/>
        <v>2032</v>
      </c>
      <c r="L4" s="157">
        <f t="shared" si="0"/>
        <v>2033</v>
      </c>
      <c r="M4" s="157">
        <f t="shared" ref="M4" si="1">L4+1</f>
        <v>2034</v>
      </c>
      <c r="N4" s="157">
        <f t="shared" ref="N4" si="2">M4+1</f>
        <v>2035</v>
      </c>
      <c r="O4" s="157">
        <f t="shared" ref="O4" si="3">N4+1</f>
        <v>2036</v>
      </c>
      <c r="P4" s="157">
        <f t="shared" ref="P4" si="4">O4+1</f>
        <v>2037</v>
      </c>
      <c r="Q4" s="157">
        <f t="shared" ref="Q4" si="5">P4+1</f>
        <v>2038</v>
      </c>
      <c r="R4" s="157">
        <f t="shared" ref="R4" si="6">Q4+1</f>
        <v>2039</v>
      </c>
      <c r="S4" s="157">
        <f t="shared" ref="S4" si="7">R4+1</f>
        <v>2040</v>
      </c>
      <c r="T4" s="157">
        <f t="shared" ref="T4" si="8">S4+1</f>
        <v>2041</v>
      </c>
      <c r="U4" s="157">
        <f t="shared" ref="U4" si="9">T4+1</f>
        <v>2042</v>
      </c>
      <c r="V4" s="157">
        <f t="shared" ref="V4" si="10">U4+1</f>
        <v>2043</v>
      </c>
    </row>
    <row r="5" spans="1:22" ht="16.5" thickBot="1">
      <c r="A5" s="162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</row>
    <row r="6" spans="1:22" ht="16.5" thickBot="1">
      <c r="A6" s="62" t="s">
        <v>103</v>
      </c>
      <c r="B6" s="63">
        <f>'Hp Ripiano Coperture'!B3</f>
        <v>5580988.8799999999</v>
      </c>
      <c r="C6" s="63"/>
      <c r="D6" s="63">
        <v>400000</v>
      </c>
      <c r="E6" s="63">
        <v>400000</v>
      </c>
      <c r="F6" s="63">
        <f>'Hp Ripiano Coperture'!F3</f>
        <v>399309.2</v>
      </c>
      <c r="G6" s="63">
        <v>400000</v>
      </c>
      <c r="H6" s="63">
        <v>400000</v>
      </c>
      <c r="I6" s="63">
        <v>400000</v>
      </c>
      <c r="J6" s="63">
        <v>400000</v>
      </c>
      <c r="K6" s="63">
        <v>400000</v>
      </c>
      <c r="L6" s="63">
        <v>400000</v>
      </c>
      <c r="M6" s="63">
        <v>400000</v>
      </c>
      <c r="N6" s="63">
        <v>400000</v>
      </c>
      <c r="O6" s="63">
        <v>400000</v>
      </c>
      <c r="P6" s="63">
        <v>400000</v>
      </c>
      <c r="Q6" s="63">
        <f>'Hp Ripiano Coperture'!Q3</f>
        <v>381679.68</v>
      </c>
      <c r="R6" s="63"/>
      <c r="S6" s="63"/>
      <c r="T6" s="63"/>
      <c r="U6" s="63"/>
      <c r="V6" s="63"/>
    </row>
    <row r="7" spans="1:22" ht="16.5" thickBot="1">
      <c r="A7" s="62" t="s">
        <v>190</v>
      </c>
      <c r="B7" s="63">
        <f>'Hp Ripiano Coperture'!B2</f>
        <v>1574608.6300000001</v>
      </c>
      <c r="C7" s="63">
        <v>74981.36</v>
      </c>
      <c r="D7" s="63">
        <v>74981.36</v>
      </c>
      <c r="E7" s="63">
        <v>74981.36</v>
      </c>
      <c r="F7" s="63">
        <v>74981.36</v>
      </c>
      <c r="G7" s="63">
        <v>74981.36</v>
      </c>
      <c r="H7" s="63">
        <v>74981.36</v>
      </c>
      <c r="I7" s="63">
        <v>74981.36</v>
      </c>
      <c r="J7" s="63">
        <v>74981.36</v>
      </c>
      <c r="K7" s="63">
        <v>74981.36</v>
      </c>
      <c r="L7" s="63">
        <v>74981.36</v>
      </c>
      <c r="M7" s="63">
        <v>74981.36</v>
      </c>
      <c r="N7" s="63">
        <v>74981.36</v>
      </c>
      <c r="O7" s="63">
        <v>74981.36</v>
      </c>
      <c r="P7" s="63">
        <v>74981.36</v>
      </c>
      <c r="Q7" s="63">
        <v>74981.36</v>
      </c>
      <c r="R7" s="63">
        <v>74981.36</v>
      </c>
      <c r="S7" s="63">
        <v>74981.36</v>
      </c>
      <c r="T7" s="63">
        <v>74981.36</v>
      </c>
      <c r="U7" s="63">
        <v>74981.36</v>
      </c>
      <c r="V7" s="63">
        <v>74981.36</v>
      </c>
    </row>
    <row r="8" spans="1:22" ht="33.950000000000003" customHeight="1" thickBot="1">
      <c r="A8" s="85" t="s">
        <v>104</v>
      </c>
      <c r="B8" s="107">
        <f>B6+B7</f>
        <v>7155597.5099999998</v>
      </c>
      <c r="C8" s="107">
        <f t="shared" ref="C8:V8" si="11">C6+C7</f>
        <v>74981.36</v>
      </c>
      <c r="D8" s="107">
        <f t="shared" si="11"/>
        <v>474981.36</v>
      </c>
      <c r="E8" s="107">
        <f t="shared" si="11"/>
        <v>474981.36</v>
      </c>
      <c r="F8" s="107">
        <f t="shared" si="11"/>
        <v>474290.56</v>
      </c>
      <c r="G8" s="107">
        <f t="shared" si="11"/>
        <v>474981.36</v>
      </c>
      <c r="H8" s="107">
        <f t="shared" si="11"/>
        <v>474981.36</v>
      </c>
      <c r="I8" s="107">
        <f t="shared" si="11"/>
        <v>474981.36</v>
      </c>
      <c r="J8" s="107">
        <f t="shared" si="11"/>
        <v>474981.36</v>
      </c>
      <c r="K8" s="107">
        <f t="shared" si="11"/>
        <v>474981.36</v>
      </c>
      <c r="L8" s="107">
        <f t="shared" si="11"/>
        <v>474981.36</v>
      </c>
      <c r="M8" s="107">
        <f t="shared" si="11"/>
        <v>474981.36</v>
      </c>
      <c r="N8" s="107">
        <f t="shared" si="11"/>
        <v>474981.36</v>
      </c>
      <c r="O8" s="107">
        <f t="shared" si="11"/>
        <v>474981.36</v>
      </c>
      <c r="P8" s="107">
        <f t="shared" si="11"/>
        <v>474981.36</v>
      </c>
      <c r="Q8" s="107">
        <f t="shared" si="11"/>
        <v>456661.04</v>
      </c>
      <c r="R8" s="107">
        <f t="shared" si="11"/>
        <v>74981.36</v>
      </c>
      <c r="S8" s="107">
        <f t="shared" si="11"/>
        <v>74981.36</v>
      </c>
      <c r="T8" s="107">
        <f t="shared" si="11"/>
        <v>74981.36</v>
      </c>
      <c r="U8" s="107">
        <f t="shared" si="11"/>
        <v>74981.36</v>
      </c>
      <c r="V8" s="107">
        <f t="shared" si="11"/>
        <v>74981.36</v>
      </c>
    </row>
    <row r="9" spans="1:22" ht="16.5" thickBot="1"/>
    <row r="10" spans="1:22">
      <c r="A10" s="160" t="s">
        <v>100</v>
      </c>
      <c r="B10" s="159" t="s">
        <v>102</v>
      </c>
      <c r="C10" s="159" t="s">
        <v>102</v>
      </c>
      <c r="D10" s="159" t="s">
        <v>102</v>
      </c>
      <c r="E10" s="159" t="s">
        <v>102</v>
      </c>
      <c r="F10" s="159" t="s">
        <v>102</v>
      </c>
      <c r="G10" s="159" t="s">
        <v>102</v>
      </c>
      <c r="H10" s="159" t="s">
        <v>102</v>
      </c>
      <c r="I10" s="159" t="s">
        <v>102</v>
      </c>
      <c r="J10" s="159" t="s">
        <v>102</v>
      </c>
      <c r="K10" s="159" t="s">
        <v>102</v>
      </c>
    </row>
    <row r="11" spans="1:22">
      <c r="A11" s="161"/>
      <c r="B11" s="157"/>
      <c r="C11" s="157"/>
      <c r="D11" s="157"/>
      <c r="E11" s="157"/>
      <c r="F11" s="157"/>
      <c r="G11" s="157"/>
      <c r="H11" s="157"/>
      <c r="I11" s="157"/>
      <c r="J11" s="157"/>
      <c r="K11" s="157"/>
    </row>
    <row r="12" spans="1:22">
      <c r="A12" s="161"/>
      <c r="B12" s="157"/>
      <c r="C12" s="157"/>
      <c r="D12" s="157"/>
      <c r="E12" s="157"/>
      <c r="F12" s="157"/>
      <c r="G12" s="157"/>
      <c r="H12" s="157"/>
      <c r="I12" s="157"/>
      <c r="J12" s="157"/>
      <c r="K12" s="157"/>
    </row>
    <row r="13" spans="1:22">
      <c r="A13" s="161"/>
      <c r="B13" s="157">
        <v>2034</v>
      </c>
      <c r="C13" s="157">
        <f t="shared" ref="C13" si="12">B13+1</f>
        <v>2035</v>
      </c>
      <c r="D13" s="157">
        <f t="shared" ref="D13" si="13">C13+1</f>
        <v>2036</v>
      </c>
      <c r="E13" s="157">
        <f t="shared" ref="E13" si="14">D13+1</f>
        <v>2037</v>
      </c>
      <c r="F13" s="157">
        <f t="shared" ref="F13" si="15">E13+1</f>
        <v>2038</v>
      </c>
      <c r="G13" s="157">
        <f t="shared" ref="G13" si="16">F13+1</f>
        <v>2039</v>
      </c>
      <c r="H13" s="157">
        <f t="shared" ref="H13" si="17">G13+1</f>
        <v>2040</v>
      </c>
      <c r="I13" s="157">
        <f t="shared" ref="I13" si="18">H13+1</f>
        <v>2041</v>
      </c>
      <c r="J13" s="157">
        <f t="shared" ref="J13" si="19">I13+1</f>
        <v>2042</v>
      </c>
      <c r="K13" s="157">
        <f t="shared" ref="K13" si="20">J13+1</f>
        <v>2043</v>
      </c>
    </row>
    <row r="14" spans="1:22" ht="16.5" thickBot="1">
      <c r="A14" s="162"/>
      <c r="B14" s="158"/>
      <c r="C14" s="158"/>
      <c r="D14" s="158"/>
      <c r="E14" s="158"/>
      <c r="F14" s="158"/>
      <c r="G14" s="158"/>
      <c r="H14" s="158"/>
      <c r="I14" s="158"/>
      <c r="J14" s="158"/>
      <c r="K14" s="158"/>
    </row>
    <row r="15" spans="1:22" ht="16.5" thickBot="1">
      <c r="A15" s="62" t="s">
        <v>103</v>
      </c>
      <c r="B15" s="63">
        <v>400000</v>
      </c>
      <c r="C15" s="63">
        <v>400000</v>
      </c>
      <c r="D15" s="63">
        <v>400000</v>
      </c>
      <c r="E15" s="63">
        <v>400000</v>
      </c>
      <c r="F15" s="63">
        <f>'Hp Ripiano Coperture'!P12</f>
        <v>2037</v>
      </c>
      <c r="G15" s="63"/>
      <c r="H15" s="63"/>
      <c r="I15" s="63"/>
      <c r="J15" s="63"/>
      <c r="K15" s="63"/>
    </row>
    <row r="16" spans="1:22" ht="16.5" thickBot="1">
      <c r="A16" s="62" t="s">
        <v>190</v>
      </c>
      <c r="B16" s="63">
        <v>74981.36</v>
      </c>
      <c r="C16" s="63">
        <v>74981.36</v>
      </c>
      <c r="D16" s="63">
        <v>74981.36</v>
      </c>
      <c r="E16" s="63">
        <v>74981.36</v>
      </c>
      <c r="F16" s="63">
        <v>74981.36</v>
      </c>
      <c r="G16" s="63">
        <v>74981.36</v>
      </c>
      <c r="H16" s="63">
        <v>74981.36</v>
      </c>
      <c r="I16" s="63">
        <v>74981.36</v>
      </c>
      <c r="J16" s="63">
        <v>74981.36</v>
      </c>
      <c r="K16" s="63">
        <v>74981.36</v>
      </c>
    </row>
    <row r="17" spans="1:11" ht="32.25" thickBot="1">
      <c r="A17" s="85" t="s">
        <v>104</v>
      </c>
      <c r="B17" s="107">
        <f t="shared" ref="B17:K17" si="21">B15+B16</f>
        <v>474981.36</v>
      </c>
      <c r="C17" s="107">
        <f t="shared" si="21"/>
        <v>474981.36</v>
      </c>
      <c r="D17" s="107">
        <f t="shared" si="21"/>
        <v>474981.36</v>
      </c>
      <c r="E17" s="107">
        <f t="shared" si="21"/>
        <v>474981.36</v>
      </c>
      <c r="F17" s="107">
        <f t="shared" si="21"/>
        <v>77018.36</v>
      </c>
      <c r="G17" s="107">
        <f t="shared" si="21"/>
        <v>74981.36</v>
      </c>
      <c r="H17" s="107">
        <f t="shared" si="21"/>
        <v>74981.36</v>
      </c>
      <c r="I17" s="107">
        <f t="shared" si="21"/>
        <v>74981.36</v>
      </c>
      <c r="J17" s="107">
        <f t="shared" si="21"/>
        <v>74981.36</v>
      </c>
      <c r="K17" s="107">
        <f t="shared" si="21"/>
        <v>74981.36</v>
      </c>
    </row>
  </sheetData>
  <mergeCells count="63">
    <mergeCell ref="K10:K12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F10:F12"/>
    <mergeCell ref="G10:G12"/>
    <mergeCell ref="H10:H12"/>
    <mergeCell ref="I10:I12"/>
    <mergeCell ref="J10:J12"/>
    <mergeCell ref="A10:A14"/>
    <mergeCell ref="B10:B12"/>
    <mergeCell ref="C10:C12"/>
    <mergeCell ref="D10:D12"/>
    <mergeCell ref="E10:E12"/>
    <mergeCell ref="K4:K5"/>
    <mergeCell ref="L4:L5"/>
    <mergeCell ref="G1:G3"/>
    <mergeCell ref="H1:H3"/>
    <mergeCell ref="I1:I3"/>
    <mergeCell ref="J1:J3"/>
    <mergeCell ref="K1:K3"/>
    <mergeCell ref="L1:L3"/>
    <mergeCell ref="G4:G5"/>
    <mergeCell ref="H4:H5"/>
    <mergeCell ref="I4:I5"/>
    <mergeCell ref="J4:J5"/>
    <mergeCell ref="A1:A5"/>
    <mergeCell ref="B1:B5"/>
    <mergeCell ref="C1:C3"/>
    <mergeCell ref="D1:D3"/>
    <mergeCell ref="E1:E3"/>
    <mergeCell ref="F1:F3"/>
    <mergeCell ref="C4:C5"/>
    <mergeCell ref="D4:D5"/>
    <mergeCell ref="E4:E5"/>
    <mergeCell ref="F4:F5"/>
    <mergeCell ref="M1:M3"/>
    <mergeCell ref="N1:N3"/>
    <mergeCell ref="O1:O3"/>
    <mergeCell ref="P1:P3"/>
    <mergeCell ref="Q1:Q3"/>
    <mergeCell ref="R1:R3"/>
    <mergeCell ref="S1:S3"/>
    <mergeCell ref="T1:T3"/>
    <mergeCell ref="U1:U3"/>
    <mergeCell ref="V1:V3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pageMargins left="0.7" right="0.7" top="0.75" bottom="0.75" header="0.3" footer="0.3"/>
  <pageSetup paperSize="9" scale="53" orientation="landscape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21"/>
  <sheetViews>
    <sheetView workbookViewId="0">
      <selection activeCell="B9" sqref="B9:G9"/>
    </sheetView>
  </sheetViews>
  <sheetFormatPr defaultColWidth="11" defaultRowHeight="15.75"/>
  <cols>
    <col min="1" max="1" width="36.125" customWidth="1"/>
    <col min="2" max="21" width="19" customWidth="1"/>
  </cols>
  <sheetData>
    <row r="1" spans="1:21" ht="17.100000000000001" customHeight="1">
      <c r="A1" s="159" t="s">
        <v>105</v>
      </c>
      <c r="B1" s="159">
        <v>2024</v>
      </c>
      <c r="C1" s="159">
        <f t="shared" ref="C1:K1" si="0">B1+1</f>
        <v>2025</v>
      </c>
      <c r="D1" s="159">
        <f t="shared" si="0"/>
        <v>2026</v>
      </c>
      <c r="E1" s="159">
        <f t="shared" si="0"/>
        <v>2027</v>
      </c>
      <c r="F1" s="159">
        <f t="shared" si="0"/>
        <v>2028</v>
      </c>
      <c r="G1" s="159">
        <f t="shared" si="0"/>
        <v>2029</v>
      </c>
      <c r="H1" s="159">
        <f t="shared" si="0"/>
        <v>2030</v>
      </c>
      <c r="I1" s="159">
        <f t="shared" si="0"/>
        <v>2031</v>
      </c>
      <c r="J1" s="159">
        <f t="shared" si="0"/>
        <v>2032</v>
      </c>
      <c r="K1" s="159">
        <f t="shared" si="0"/>
        <v>2033</v>
      </c>
      <c r="L1" s="159">
        <f t="shared" ref="L1" si="1">K1+1</f>
        <v>2034</v>
      </c>
      <c r="M1" s="159">
        <f t="shared" ref="M1" si="2">L1+1</f>
        <v>2035</v>
      </c>
      <c r="N1" s="159">
        <f t="shared" ref="N1" si="3">M1+1</f>
        <v>2036</v>
      </c>
      <c r="O1" s="159">
        <f t="shared" ref="O1" si="4">N1+1</f>
        <v>2037</v>
      </c>
      <c r="P1" s="159">
        <f t="shared" ref="P1" si="5">O1+1</f>
        <v>2038</v>
      </c>
      <c r="Q1" s="159">
        <f t="shared" ref="Q1" si="6">P1+1</f>
        <v>2039</v>
      </c>
      <c r="R1" s="159">
        <f t="shared" ref="R1" si="7">Q1+1</f>
        <v>2040</v>
      </c>
      <c r="S1" s="159">
        <f t="shared" ref="S1" si="8">R1+1</f>
        <v>2041</v>
      </c>
      <c r="T1" s="159">
        <f t="shared" ref="T1:U1" si="9">S1+1</f>
        <v>2042</v>
      </c>
      <c r="U1" s="159">
        <f t="shared" si="9"/>
        <v>2043</v>
      </c>
    </row>
    <row r="2" spans="1:21" ht="18" customHeight="1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</row>
    <row r="3" spans="1:21" ht="16.5" thickBot="1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</row>
    <row r="4" spans="1:21" ht="33.950000000000003" customHeight="1">
      <c r="A4" s="159" t="s">
        <v>106</v>
      </c>
      <c r="B4" s="165">
        <f>'Ripiano disavanzo'!B8</f>
        <v>7155597.5099999998</v>
      </c>
      <c r="C4" s="165">
        <f t="shared" ref="C4:K4" si="10">B10</f>
        <v>7080616.1499999994</v>
      </c>
      <c r="D4" s="165">
        <f t="shared" si="10"/>
        <v>6605634.7899999991</v>
      </c>
      <c r="E4" s="165">
        <f t="shared" si="10"/>
        <v>6130653.4299999988</v>
      </c>
      <c r="F4" s="165">
        <f t="shared" si="10"/>
        <v>5656362.8699999992</v>
      </c>
      <c r="G4" s="165">
        <f t="shared" si="10"/>
        <v>5181381.5099999988</v>
      </c>
      <c r="H4" s="165">
        <f t="shared" si="10"/>
        <v>4706400.1499999985</v>
      </c>
      <c r="I4" s="165">
        <f t="shared" si="10"/>
        <v>4231418.7899999982</v>
      </c>
      <c r="J4" s="165">
        <f t="shared" si="10"/>
        <v>3756437.4299999983</v>
      </c>
      <c r="K4" s="165">
        <f t="shared" si="10"/>
        <v>3281456.0699999984</v>
      </c>
      <c r="L4" s="165">
        <f t="shared" ref="L4" si="11">K10</f>
        <v>2806474.7099999986</v>
      </c>
      <c r="M4" s="165">
        <f t="shared" ref="M4" si="12">L10</f>
        <v>2331493.3499999987</v>
      </c>
      <c r="N4" s="165">
        <f t="shared" ref="N4" si="13">M10</f>
        <v>1856511.9899999988</v>
      </c>
      <c r="O4" s="165">
        <f t="shared" ref="O4" si="14">N10</f>
        <v>1381530.629999999</v>
      </c>
      <c r="P4" s="165">
        <f t="shared" ref="P4" si="15">O10</f>
        <v>906549.26999999897</v>
      </c>
      <c r="Q4" s="165">
        <f t="shared" ref="Q4" si="16">P10</f>
        <v>449888.22999999899</v>
      </c>
      <c r="R4" s="165">
        <f t="shared" ref="R4" si="17">Q10</f>
        <v>374906.86999999901</v>
      </c>
      <c r="S4" s="165">
        <f t="shared" ref="S4" si="18">R10</f>
        <v>299925.50999999902</v>
      </c>
      <c r="T4" s="165">
        <f t="shared" ref="T4:U4" si="19">S10</f>
        <v>224944.14999999903</v>
      </c>
      <c r="U4" s="165">
        <f t="shared" si="19"/>
        <v>149962.78999999905</v>
      </c>
    </row>
    <row r="5" spans="1:21" ht="16.5" thickBot="1">
      <c r="A5" s="158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</row>
    <row r="6" spans="1:21" ht="19.5" thickBot="1">
      <c r="A6" s="62" t="s">
        <v>107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</row>
    <row r="7" spans="1:21">
      <c r="A7" s="159" t="s">
        <v>108</v>
      </c>
      <c r="B7" s="163">
        <f>'Ripiano disavanzo'!C7</f>
        <v>74981.36</v>
      </c>
      <c r="C7" s="163">
        <f>'Ripiano disavanzo'!D8</f>
        <v>474981.36</v>
      </c>
      <c r="D7" s="163">
        <f>'Ripiano disavanzo'!E8</f>
        <v>474981.36</v>
      </c>
      <c r="E7" s="163">
        <f>'Ripiano disavanzo'!F8</f>
        <v>474290.56</v>
      </c>
      <c r="F7" s="163">
        <f>'Ripiano disavanzo'!G8</f>
        <v>474981.36</v>
      </c>
      <c r="G7" s="163">
        <f>'Ripiano disavanzo'!H8</f>
        <v>474981.36</v>
      </c>
      <c r="H7" s="163">
        <f>'Ripiano disavanzo'!I8</f>
        <v>474981.36</v>
      </c>
      <c r="I7" s="163">
        <f>'Ripiano disavanzo'!J8</f>
        <v>474981.36</v>
      </c>
      <c r="J7" s="163">
        <f>'Ripiano disavanzo'!K8</f>
        <v>474981.36</v>
      </c>
      <c r="K7" s="163">
        <f>'Ripiano disavanzo'!L8</f>
        <v>474981.36</v>
      </c>
      <c r="L7" s="163">
        <f>'Ripiano disavanzo'!M8</f>
        <v>474981.36</v>
      </c>
      <c r="M7" s="163">
        <f>'Ripiano disavanzo'!N8</f>
        <v>474981.36</v>
      </c>
      <c r="N7" s="163">
        <f>'Ripiano disavanzo'!O8</f>
        <v>474981.36</v>
      </c>
      <c r="O7" s="163">
        <f>'Ripiano disavanzo'!P8</f>
        <v>474981.36</v>
      </c>
      <c r="P7" s="163">
        <f>'Ripiano disavanzo'!Q8</f>
        <v>456661.04</v>
      </c>
      <c r="Q7" s="163">
        <f>'Ripiano disavanzo'!R8</f>
        <v>74981.36</v>
      </c>
      <c r="R7" s="163">
        <f>'Ripiano disavanzo'!S8</f>
        <v>74981.36</v>
      </c>
      <c r="S7" s="163">
        <f>'Ripiano disavanzo'!T8</f>
        <v>74981.36</v>
      </c>
      <c r="T7" s="163">
        <f>'Ripiano disavanzo'!U8</f>
        <v>74981.36</v>
      </c>
      <c r="U7" s="163">
        <f>'Ripiano disavanzo'!V8</f>
        <v>74981.36</v>
      </c>
    </row>
    <row r="8" spans="1:21" ht="16.5" thickBot="1">
      <c r="A8" s="158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</row>
    <row r="9" spans="1:21" s="66" customFormat="1" ht="19.5" thickBot="1">
      <c r="A9" s="64" t="s">
        <v>109</v>
      </c>
      <c r="B9" s="65">
        <f t="shared" ref="B9:K9" si="20">B7/B4</f>
        <v>1.0478700051982103E-2</v>
      </c>
      <c r="C9" s="65">
        <f t="shared" si="20"/>
        <v>6.7081924784187036E-2</v>
      </c>
      <c r="D9" s="65">
        <f t="shared" si="20"/>
        <v>7.1905482985383157E-2</v>
      </c>
      <c r="E9" s="65">
        <f t="shared" si="20"/>
        <v>7.7363786000214346E-2</v>
      </c>
      <c r="F9" s="65">
        <f t="shared" si="20"/>
        <v>8.397292941002564E-2</v>
      </c>
      <c r="G9" s="65">
        <f t="shared" si="20"/>
        <v>9.1670794571542771E-2</v>
      </c>
      <c r="H9" s="65">
        <f t="shared" si="20"/>
        <v>0.10092243431532275</v>
      </c>
      <c r="I9" s="65">
        <f t="shared" si="20"/>
        <v>0.11225108730020084</v>
      </c>
      <c r="J9" s="65">
        <f t="shared" si="20"/>
        <v>0.12644463507009623</v>
      </c>
      <c r="K9" s="65">
        <f t="shared" si="20"/>
        <v>0.14474713354916258</v>
      </c>
      <c r="L9" s="65">
        <f t="shared" ref="L9:T9" si="21">L7/L4</f>
        <v>0.16924483883911437</v>
      </c>
      <c r="M9" s="65">
        <f t="shared" si="21"/>
        <v>0.20372408954115193</v>
      </c>
      <c r="N9" s="65">
        <f t="shared" si="21"/>
        <v>0.25584610417732895</v>
      </c>
      <c r="O9" s="65">
        <f t="shared" si="21"/>
        <v>0.34380805585179125</v>
      </c>
      <c r="P9" s="65">
        <f t="shared" si="21"/>
        <v>0.50373548919188971</v>
      </c>
      <c r="Q9" s="65">
        <f t="shared" si="21"/>
        <v>0.1666666407343001</v>
      </c>
      <c r="R9" s="65">
        <f t="shared" si="21"/>
        <v>0.19999996265739328</v>
      </c>
      <c r="S9" s="65">
        <f t="shared" si="21"/>
        <v>0.24999994165217973</v>
      </c>
      <c r="T9" s="65">
        <f t="shared" si="21"/>
        <v>0.33333322960388312</v>
      </c>
      <c r="U9" s="65">
        <f t="shared" ref="U9" si="22">U7/U4</f>
        <v>0.49999976660877327</v>
      </c>
    </row>
    <row r="10" spans="1:21" ht="30.75" thickBot="1">
      <c r="A10" s="64" t="s">
        <v>110</v>
      </c>
      <c r="B10" s="63">
        <f t="shared" ref="B10:K10" si="23">B4-B7</f>
        <v>7080616.1499999994</v>
      </c>
      <c r="C10" s="63">
        <f t="shared" si="23"/>
        <v>6605634.7899999991</v>
      </c>
      <c r="D10" s="63">
        <f t="shared" si="23"/>
        <v>6130653.4299999988</v>
      </c>
      <c r="E10" s="63">
        <f t="shared" si="23"/>
        <v>5656362.8699999992</v>
      </c>
      <c r="F10" s="63">
        <f t="shared" si="23"/>
        <v>5181381.5099999988</v>
      </c>
      <c r="G10" s="63">
        <f t="shared" si="23"/>
        <v>4706400.1499999985</v>
      </c>
      <c r="H10" s="63">
        <f t="shared" si="23"/>
        <v>4231418.7899999982</v>
      </c>
      <c r="I10" s="63">
        <f t="shared" si="23"/>
        <v>3756437.4299999983</v>
      </c>
      <c r="J10" s="63">
        <f t="shared" si="23"/>
        <v>3281456.0699999984</v>
      </c>
      <c r="K10" s="63">
        <f t="shared" si="23"/>
        <v>2806474.7099999986</v>
      </c>
      <c r="L10" s="63">
        <f t="shared" ref="L10:T10" si="24">L4-L7</f>
        <v>2331493.3499999987</v>
      </c>
      <c r="M10" s="63">
        <f t="shared" si="24"/>
        <v>1856511.9899999988</v>
      </c>
      <c r="N10" s="63">
        <f t="shared" si="24"/>
        <v>1381530.629999999</v>
      </c>
      <c r="O10" s="63">
        <f t="shared" si="24"/>
        <v>906549.26999999897</v>
      </c>
      <c r="P10" s="63">
        <f t="shared" si="24"/>
        <v>449888.22999999899</v>
      </c>
      <c r="Q10" s="63">
        <f t="shared" si="24"/>
        <v>374906.86999999901</v>
      </c>
      <c r="R10" s="63">
        <f t="shared" si="24"/>
        <v>299925.50999999902</v>
      </c>
      <c r="S10" s="63">
        <f t="shared" si="24"/>
        <v>224944.14999999903</v>
      </c>
      <c r="T10" s="63">
        <f t="shared" si="24"/>
        <v>149962.78999999905</v>
      </c>
      <c r="U10" s="63">
        <f t="shared" ref="U10" si="25">U4-U7</f>
        <v>74981.429999999047</v>
      </c>
    </row>
    <row r="11" spans="1:21" ht="16.5" thickBot="1"/>
    <row r="12" spans="1:21">
      <c r="A12" s="159" t="s">
        <v>105</v>
      </c>
    </row>
    <row r="13" spans="1:21">
      <c r="A13" s="157"/>
    </row>
    <row r="14" spans="1:21" ht="16.5" thickBot="1">
      <c r="A14" s="158"/>
      <c r="B14" s="68"/>
    </row>
    <row r="15" spans="1:21" ht="15.95" customHeight="1">
      <c r="A15" s="159" t="s">
        <v>106</v>
      </c>
      <c r="B15" s="69"/>
    </row>
    <row r="16" spans="1:21" ht="16.5" thickBot="1">
      <c r="A16" s="158"/>
    </row>
    <row r="17" spans="1:1" ht="19.5" thickBot="1">
      <c r="A17" s="62" t="s">
        <v>107</v>
      </c>
    </row>
    <row r="18" spans="1:1">
      <c r="A18" s="159" t="s">
        <v>108</v>
      </c>
    </row>
    <row r="19" spans="1:1" ht="16.5" thickBot="1">
      <c r="A19" s="158"/>
    </row>
    <row r="20" spans="1:1" ht="19.5" thickBot="1">
      <c r="A20" s="64" t="s">
        <v>109</v>
      </c>
    </row>
    <row r="21" spans="1:1" ht="30.75" thickBot="1">
      <c r="A21" s="64" t="s">
        <v>110</v>
      </c>
    </row>
  </sheetData>
  <mergeCells count="66">
    <mergeCell ref="A12:A14"/>
    <mergeCell ref="A15:A16"/>
    <mergeCell ref="A18:A19"/>
    <mergeCell ref="H4:H5"/>
    <mergeCell ref="I4:I5"/>
    <mergeCell ref="J4:J5"/>
    <mergeCell ref="K4:K5"/>
    <mergeCell ref="F7:F8"/>
    <mergeCell ref="H7:H8"/>
    <mergeCell ref="I7:I8"/>
    <mergeCell ref="J7:J8"/>
    <mergeCell ref="K7:K8"/>
    <mergeCell ref="I1:I3"/>
    <mergeCell ref="J1:J3"/>
    <mergeCell ref="K1:K3"/>
    <mergeCell ref="B1:B3"/>
    <mergeCell ref="C1:C3"/>
    <mergeCell ref="D1:D3"/>
    <mergeCell ref="E1:E3"/>
    <mergeCell ref="F1:F3"/>
    <mergeCell ref="A1:A3"/>
    <mergeCell ref="A4:A5"/>
    <mergeCell ref="A7:A8"/>
    <mergeCell ref="G1:G3"/>
    <mergeCell ref="H1:H3"/>
    <mergeCell ref="G7:G8"/>
    <mergeCell ref="B4:B5"/>
    <mergeCell ref="C4:C5"/>
    <mergeCell ref="D4:D5"/>
    <mergeCell ref="E4:E5"/>
    <mergeCell ref="F4:F5"/>
    <mergeCell ref="G4:G5"/>
    <mergeCell ref="B7:B8"/>
    <mergeCell ref="C7:C8"/>
    <mergeCell ref="D7:D8"/>
    <mergeCell ref="E7:E8"/>
    <mergeCell ref="L1:L3"/>
    <mergeCell ref="M1:M3"/>
    <mergeCell ref="N1:N3"/>
    <mergeCell ref="O1:O3"/>
    <mergeCell ref="P1:P3"/>
    <mergeCell ref="L4:L5"/>
    <mergeCell ref="M4:M5"/>
    <mergeCell ref="N4:N5"/>
    <mergeCell ref="O4:O5"/>
    <mergeCell ref="P4:P5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1:U3"/>
    <mergeCell ref="U4:U5"/>
    <mergeCell ref="U7:U8"/>
    <mergeCell ref="Q1:Q3"/>
    <mergeCell ref="R1:R3"/>
    <mergeCell ref="S1:S3"/>
    <mergeCell ref="T1:T3"/>
    <mergeCell ref="Q4:Q5"/>
    <mergeCell ref="R4:R5"/>
    <mergeCell ref="S4:S5"/>
    <mergeCell ref="T4:T5"/>
  </mergeCells>
  <pageMargins left="0.7" right="0.7" top="0.75" bottom="0.75" header="0.3" footer="0.3"/>
  <pageSetup paperSize="9" scale="54" orientation="landscape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W21"/>
  <sheetViews>
    <sheetView workbookViewId="0">
      <pane xSplit="2" topLeftCell="M1" activePane="topRight" state="frozen"/>
      <selection pane="topRight" activeCell="Q32" sqref="Q32"/>
    </sheetView>
  </sheetViews>
  <sheetFormatPr defaultColWidth="11" defaultRowHeight="15.75"/>
  <cols>
    <col min="1" max="1" width="44" customWidth="1"/>
    <col min="2" max="2" width="19.375" hidden="1" customWidth="1"/>
    <col min="3" max="12" width="16.125" hidden="1" customWidth="1"/>
    <col min="13" max="23" width="16.125" customWidth="1"/>
  </cols>
  <sheetData>
    <row r="1" spans="1:23">
      <c r="A1" s="185" t="s">
        <v>175</v>
      </c>
      <c r="B1" s="174" t="s">
        <v>160</v>
      </c>
      <c r="C1" s="174">
        <v>2024</v>
      </c>
      <c r="D1" s="174">
        <f>C1+1</f>
        <v>2025</v>
      </c>
      <c r="E1" s="174">
        <f>D1+1</f>
        <v>2026</v>
      </c>
      <c r="F1" s="174">
        <f t="shared" ref="F1:V1" si="0">E1+1</f>
        <v>2027</v>
      </c>
      <c r="G1" s="174">
        <f t="shared" si="0"/>
        <v>2028</v>
      </c>
      <c r="H1" s="174">
        <f t="shared" si="0"/>
        <v>2029</v>
      </c>
      <c r="I1" s="174">
        <f>H1+1</f>
        <v>2030</v>
      </c>
      <c r="J1" s="174">
        <f t="shared" si="0"/>
        <v>2031</v>
      </c>
      <c r="K1" s="174">
        <f t="shared" si="0"/>
        <v>2032</v>
      </c>
      <c r="L1" s="174">
        <f t="shared" si="0"/>
        <v>2033</v>
      </c>
      <c r="M1" s="174">
        <f t="shared" si="0"/>
        <v>2034</v>
      </c>
      <c r="N1" s="174">
        <f t="shared" si="0"/>
        <v>2035</v>
      </c>
      <c r="O1" s="174">
        <f t="shared" si="0"/>
        <v>2036</v>
      </c>
      <c r="P1" s="174">
        <f t="shared" si="0"/>
        <v>2037</v>
      </c>
      <c r="Q1" s="174">
        <f t="shared" si="0"/>
        <v>2038</v>
      </c>
      <c r="R1" s="174">
        <f t="shared" si="0"/>
        <v>2039</v>
      </c>
      <c r="S1" s="174">
        <f t="shared" si="0"/>
        <v>2040</v>
      </c>
      <c r="T1" s="174">
        <f t="shared" si="0"/>
        <v>2041</v>
      </c>
      <c r="U1" s="174">
        <f t="shared" si="0"/>
        <v>2042</v>
      </c>
      <c r="V1" s="174">
        <f t="shared" si="0"/>
        <v>2043</v>
      </c>
      <c r="W1" s="174" t="s">
        <v>26</v>
      </c>
    </row>
    <row r="2" spans="1:23">
      <c r="A2" s="183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</row>
    <row r="3" spans="1:23">
      <c r="A3" s="183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</row>
    <row r="4" spans="1:23" ht="16.5" thickBot="1">
      <c r="A4" s="184"/>
      <c r="B4" s="18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</row>
    <row r="5" spans="1:23">
      <c r="A5" s="183" t="s">
        <v>170</v>
      </c>
      <c r="B5" s="179">
        <f>'Hp Ripiano Coperture'!B4</f>
        <v>588300.72</v>
      </c>
      <c r="C5" s="167">
        <f>'Hp Ripiano Coperture'!C4</f>
        <v>286603.96999999997</v>
      </c>
      <c r="D5" s="167">
        <f>'Hp Ripiano Coperture'!D4</f>
        <v>30169.68</v>
      </c>
      <c r="E5" s="167">
        <v>30169.68</v>
      </c>
      <c r="F5" s="167">
        <v>30169.68</v>
      </c>
      <c r="G5" s="167">
        <v>30169.68</v>
      </c>
      <c r="H5" s="167">
        <v>30169.68</v>
      </c>
      <c r="I5" s="167">
        <v>30169.68</v>
      </c>
      <c r="J5" s="167">
        <v>30169.68</v>
      </c>
      <c r="K5" s="167">
        <v>30169.68</v>
      </c>
      <c r="L5" s="167">
        <v>30169.68</v>
      </c>
      <c r="M5" s="167">
        <f>+'Hp Ripiano Coperture'!M4</f>
        <v>30169.63</v>
      </c>
      <c r="N5" s="167"/>
      <c r="O5" s="167"/>
      <c r="P5" s="167"/>
      <c r="Q5" s="167"/>
      <c r="R5" s="167"/>
      <c r="S5" s="167"/>
      <c r="T5" s="167"/>
      <c r="U5" s="167"/>
      <c r="V5" s="167"/>
      <c r="W5" s="172">
        <f>SUM(C5:V7)</f>
        <v>588300.72</v>
      </c>
    </row>
    <row r="6" spans="1:23">
      <c r="A6" s="183"/>
      <c r="B6" s="179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73"/>
    </row>
    <row r="7" spans="1:23" ht="16.5" thickBot="1">
      <c r="A7" s="184"/>
      <c r="B7" s="180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71"/>
    </row>
    <row r="8" spans="1:23">
      <c r="A8" s="183" t="s">
        <v>171</v>
      </c>
      <c r="B8" s="179">
        <f>'Hp Ripiano Coperture'!B5</f>
        <v>1246235.8</v>
      </c>
      <c r="C8" s="167">
        <f>'Hp Ripiano Coperture'!C5</f>
        <v>274901.78066666669</v>
      </c>
      <c r="D8" s="167">
        <f>'Hp Ripiano Coperture'!D5</f>
        <v>142264.47999999998</v>
      </c>
      <c r="E8" s="167">
        <f>+'Hp Ripiano Coperture'!E5</f>
        <v>121010.31</v>
      </c>
      <c r="F8" s="167">
        <f>+'Hp Ripiano Coperture'!F5</f>
        <v>74889.899999999994</v>
      </c>
      <c r="G8" s="167">
        <f>+'Hp Ripiano Coperture'!G5</f>
        <v>96436.74</v>
      </c>
      <c r="H8" s="167">
        <f>+'Hp Ripiano Coperture'!H5</f>
        <v>91746.72</v>
      </c>
      <c r="I8" s="167">
        <f>+'Hp Ripiano Coperture'!I5</f>
        <v>59221.619999999995</v>
      </c>
      <c r="J8" s="167">
        <f>+'Hp Ripiano Coperture'!$J$5</f>
        <v>59221.619999999995</v>
      </c>
      <c r="K8" s="167">
        <f>+'Hp Ripiano Coperture'!$J$5</f>
        <v>59221.619999999995</v>
      </c>
      <c r="L8" s="167">
        <f>+'Hp Ripiano Coperture'!$J$5</f>
        <v>59221.619999999995</v>
      </c>
      <c r="M8" s="167">
        <f>+'Hp Ripiano Coperture'!M5</f>
        <v>28635.68</v>
      </c>
      <c r="N8" s="167">
        <f>+'Hp Ripiano Coperture'!N5</f>
        <v>28635.279999999999</v>
      </c>
      <c r="O8" s="167">
        <f>+'Hp Ripiano Coperture'!$O$5</f>
        <v>21546.84</v>
      </c>
      <c r="P8" s="167">
        <f>+'Hp Ripiano Coperture'!$O$5</f>
        <v>21546.84</v>
      </c>
      <c r="Q8" s="167">
        <f>+'Hp Ripiano Coperture'!$O$5</f>
        <v>21546.84</v>
      </c>
      <c r="R8" s="167">
        <f>+'Hp Ripiano Coperture'!$O$5</f>
        <v>21546.84</v>
      </c>
      <c r="S8" s="167">
        <f>+'Hp Ripiano Coperture'!$O$5</f>
        <v>21546.84</v>
      </c>
      <c r="T8" s="167">
        <f>+'Hp Ripiano Coperture'!$O$5</f>
        <v>21546.84</v>
      </c>
      <c r="U8" s="167">
        <f>+'Hp Ripiano Coperture'!U5</f>
        <v>21547.350000000002</v>
      </c>
      <c r="V8" s="167"/>
      <c r="W8" s="172">
        <f>SUM(C8:V10)</f>
        <v>1246235.7606666673</v>
      </c>
    </row>
    <row r="9" spans="1:23" ht="15.95" customHeight="1">
      <c r="A9" s="183"/>
      <c r="B9" s="179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73"/>
    </row>
    <row r="10" spans="1:23" ht="17.100000000000001" customHeight="1" thickBot="1">
      <c r="A10" s="184"/>
      <c r="B10" s="180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71"/>
    </row>
    <row r="11" spans="1:23">
      <c r="A11" s="187" t="s">
        <v>172</v>
      </c>
      <c r="B11" s="179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72"/>
    </row>
    <row r="12" spans="1:23" ht="15.95" customHeight="1">
      <c r="A12" s="187"/>
      <c r="B12" s="179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73" t="s">
        <v>159</v>
      </c>
    </row>
    <row r="13" spans="1:23" ht="17.100000000000001" customHeight="1" thickBot="1">
      <c r="A13" s="188"/>
      <c r="B13" s="180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71" t="s">
        <v>158</v>
      </c>
    </row>
    <row r="14" spans="1:23">
      <c r="A14" s="183" t="s">
        <v>173</v>
      </c>
      <c r="B14" s="179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72"/>
    </row>
    <row r="15" spans="1:23" ht="15.95" customHeight="1">
      <c r="A15" s="183"/>
      <c r="B15" s="179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73" t="s">
        <v>159</v>
      </c>
    </row>
    <row r="16" spans="1:23" ht="17.100000000000001" customHeight="1" thickBot="1">
      <c r="A16" s="184"/>
      <c r="B16" s="180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71" t="s">
        <v>158</v>
      </c>
    </row>
    <row r="17" spans="1:23">
      <c r="A17" s="183" t="s">
        <v>174</v>
      </c>
      <c r="B17" s="179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72"/>
    </row>
    <row r="18" spans="1:23" ht="15.95" customHeight="1">
      <c r="A18" s="183"/>
      <c r="B18" s="179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73"/>
    </row>
    <row r="19" spans="1:23" ht="17.100000000000001" customHeight="1" thickBot="1">
      <c r="A19" s="184"/>
      <c r="B19" s="180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71"/>
    </row>
    <row r="20" spans="1:23">
      <c r="A20" s="181" t="s">
        <v>157</v>
      </c>
      <c r="B20" s="177">
        <f>SUM(B5:B19)</f>
        <v>1834536.52</v>
      </c>
      <c r="C20" s="170">
        <f t="shared" ref="C20:W20" si="1">SUM(C5:C19)</f>
        <v>561505.75066666666</v>
      </c>
      <c r="D20" s="170">
        <f>SUM(D5:D19)</f>
        <v>172434.15999999997</v>
      </c>
      <c r="E20" s="170">
        <f t="shared" si="1"/>
        <v>151179.99</v>
      </c>
      <c r="F20" s="170">
        <f t="shared" ref="F20:I20" si="2">SUM(F5:F19)</f>
        <v>105059.57999999999</v>
      </c>
      <c r="G20" s="170">
        <f t="shared" si="2"/>
        <v>126606.42000000001</v>
      </c>
      <c r="H20" s="170">
        <f t="shared" si="2"/>
        <v>121916.4</v>
      </c>
      <c r="I20" s="170">
        <f t="shared" si="2"/>
        <v>89391.299999999988</v>
      </c>
      <c r="J20" s="170">
        <f t="shared" ref="J20:V20" si="3">SUM(J5:J19)</f>
        <v>89391.299999999988</v>
      </c>
      <c r="K20" s="170">
        <f t="shared" si="3"/>
        <v>89391.299999999988</v>
      </c>
      <c r="L20" s="170">
        <f t="shared" si="3"/>
        <v>89391.299999999988</v>
      </c>
      <c r="M20" s="170">
        <f t="shared" ref="M20:N20" si="4">SUM(M5:M19)</f>
        <v>58805.31</v>
      </c>
      <c r="N20" s="170">
        <f t="shared" si="4"/>
        <v>28635.279999999999</v>
      </c>
      <c r="O20" s="170">
        <f t="shared" ref="O20:S20" si="5">SUM(O5:O19)</f>
        <v>21546.84</v>
      </c>
      <c r="P20" s="170">
        <f t="shared" si="5"/>
        <v>21546.84</v>
      </c>
      <c r="Q20" s="170">
        <f t="shared" si="5"/>
        <v>21546.84</v>
      </c>
      <c r="R20" s="170">
        <f t="shared" si="5"/>
        <v>21546.84</v>
      </c>
      <c r="S20" s="170">
        <f t="shared" si="5"/>
        <v>21546.84</v>
      </c>
      <c r="T20" s="170">
        <f t="shared" si="3"/>
        <v>21546.84</v>
      </c>
      <c r="U20" s="170">
        <f t="shared" si="3"/>
        <v>21547.350000000002</v>
      </c>
      <c r="V20" s="170">
        <f t="shared" si="3"/>
        <v>0</v>
      </c>
      <c r="W20" s="170">
        <f t="shared" si="1"/>
        <v>1834536.4806666672</v>
      </c>
    </row>
    <row r="21" spans="1:23" ht="16.5" thickBot="1">
      <c r="A21" s="182"/>
      <c r="B21" s="178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</row>
  </sheetData>
  <mergeCells count="161">
    <mergeCell ref="Q20:Q21"/>
    <mergeCell ref="R1:R4"/>
    <mergeCell ref="R5:R7"/>
    <mergeCell ref="R8:R10"/>
    <mergeCell ref="R11:R13"/>
    <mergeCell ref="R14:R16"/>
    <mergeCell ref="R17:R19"/>
    <mergeCell ref="R20:R21"/>
    <mergeCell ref="N20:N21"/>
    <mergeCell ref="Q17:Q19"/>
    <mergeCell ref="S20:S21"/>
    <mergeCell ref="M1:M4"/>
    <mergeCell ref="N1:N4"/>
    <mergeCell ref="S1:S4"/>
    <mergeCell ref="M5:M7"/>
    <mergeCell ref="M8:M10"/>
    <mergeCell ref="N5:N7"/>
    <mergeCell ref="N8:N10"/>
    <mergeCell ref="S5:S7"/>
    <mergeCell ref="O1:O4"/>
    <mergeCell ref="O5:O7"/>
    <mergeCell ref="O8:O10"/>
    <mergeCell ref="O11:O13"/>
    <mergeCell ref="O14:O16"/>
    <mergeCell ref="O17:O19"/>
    <mergeCell ref="M20:M21"/>
    <mergeCell ref="N14:N16"/>
    <mergeCell ref="S14:S16"/>
    <mergeCell ref="M17:M19"/>
    <mergeCell ref="N17:N19"/>
    <mergeCell ref="S17:S19"/>
    <mergeCell ref="P14:P16"/>
    <mergeCell ref="P17:P19"/>
    <mergeCell ref="Q14:Q16"/>
    <mergeCell ref="V17:V19"/>
    <mergeCell ref="V20:V21"/>
    <mergeCell ref="V1:V4"/>
    <mergeCell ref="V5:V7"/>
    <mergeCell ref="V8:V10"/>
    <mergeCell ref="V11:V13"/>
    <mergeCell ref="V14:V16"/>
    <mergeCell ref="J20:J21"/>
    <mergeCell ref="K20:K21"/>
    <mergeCell ref="L20:L21"/>
    <mergeCell ref="T20:T21"/>
    <mergeCell ref="U1:U4"/>
    <mergeCell ref="U5:U7"/>
    <mergeCell ref="U8:U10"/>
    <mergeCell ref="U11:U13"/>
    <mergeCell ref="U14:U16"/>
    <mergeCell ref="U17:U19"/>
    <mergeCell ref="U20:U21"/>
    <mergeCell ref="O20:O21"/>
    <mergeCell ref="P1:P4"/>
    <mergeCell ref="P5:P7"/>
    <mergeCell ref="P20:P21"/>
    <mergeCell ref="Q1:Q4"/>
    <mergeCell ref="L17:L19"/>
    <mergeCell ref="T1:T4"/>
    <mergeCell ref="T5:T7"/>
    <mergeCell ref="T8:T10"/>
    <mergeCell ref="T11:T13"/>
    <mergeCell ref="T14:T16"/>
    <mergeCell ref="T17:T19"/>
    <mergeCell ref="Q5:Q7"/>
    <mergeCell ref="L1:L4"/>
    <mergeCell ref="L5:L7"/>
    <mergeCell ref="L8:L10"/>
    <mergeCell ref="L11:L13"/>
    <mergeCell ref="L14:L16"/>
    <mergeCell ref="M14:M16"/>
    <mergeCell ref="S8:S10"/>
    <mergeCell ref="M11:M13"/>
    <mergeCell ref="N11:N13"/>
    <mergeCell ref="S11:S13"/>
    <mergeCell ref="P8:P10"/>
    <mergeCell ref="P11:P13"/>
    <mergeCell ref="Q8:Q10"/>
    <mergeCell ref="Q11:Q13"/>
    <mergeCell ref="J17:J19"/>
    <mergeCell ref="K1:K4"/>
    <mergeCell ref="K5:K7"/>
    <mergeCell ref="K8:K10"/>
    <mergeCell ref="K11:K13"/>
    <mergeCell ref="K17:K19"/>
    <mergeCell ref="J1:J4"/>
    <mergeCell ref="J5:J7"/>
    <mergeCell ref="J8:J10"/>
    <mergeCell ref="J11:J13"/>
    <mergeCell ref="J14:J16"/>
    <mergeCell ref="K14:K16"/>
    <mergeCell ref="A1:A4"/>
    <mergeCell ref="D17:D19"/>
    <mergeCell ref="E17:E19"/>
    <mergeCell ref="C14:C16"/>
    <mergeCell ref="D14:D16"/>
    <mergeCell ref="E14:E16"/>
    <mergeCell ref="C11:C13"/>
    <mergeCell ref="D11:D13"/>
    <mergeCell ref="E11:E13"/>
    <mergeCell ref="C8:C10"/>
    <mergeCell ref="D8:D10"/>
    <mergeCell ref="E8:E10"/>
    <mergeCell ref="C5:C7"/>
    <mergeCell ref="D5:D7"/>
    <mergeCell ref="E5:E7"/>
    <mergeCell ref="C1:C4"/>
    <mergeCell ref="D1:D4"/>
    <mergeCell ref="E1:E4"/>
    <mergeCell ref="B1:B4"/>
    <mergeCell ref="B5:B7"/>
    <mergeCell ref="A5:A7"/>
    <mergeCell ref="A11:A13"/>
    <mergeCell ref="A14:A16"/>
    <mergeCell ref="A17:A19"/>
    <mergeCell ref="B20:B21"/>
    <mergeCell ref="B8:B10"/>
    <mergeCell ref="B11:B13"/>
    <mergeCell ref="B14:B16"/>
    <mergeCell ref="A20:A21"/>
    <mergeCell ref="B17:B19"/>
    <mergeCell ref="A8:A10"/>
    <mergeCell ref="C20:C21"/>
    <mergeCell ref="C17:C19"/>
    <mergeCell ref="D20:D21"/>
    <mergeCell ref="E20:E21"/>
    <mergeCell ref="H20:H21"/>
    <mergeCell ref="F20:F21"/>
    <mergeCell ref="G20:G21"/>
    <mergeCell ref="W17:W19"/>
    <mergeCell ref="W14:W16"/>
    <mergeCell ref="W1:W4"/>
    <mergeCell ref="W5:W7"/>
    <mergeCell ref="W8:W10"/>
    <mergeCell ref="W11:W13"/>
    <mergeCell ref="W20:W21"/>
    <mergeCell ref="I20:I21"/>
    <mergeCell ref="H1:H4"/>
    <mergeCell ref="I1:I4"/>
    <mergeCell ref="F5:F7"/>
    <mergeCell ref="G5:G7"/>
    <mergeCell ref="H5:H7"/>
    <mergeCell ref="I5:I7"/>
    <mergeCell ref="F1:F4"/>
    <mergeCell ref="G1:G4"/>
    <mergeCell ref="H8:H10"/>
    <mergeCell ref="I8:I10"/>
    <mergeCell ref="F11:F13"/>
    <mergeCell ref="G11:G13"/>
    <mergeCell ref="H11:H13"/>
    <mergeCell ref="I11:I13"/>
    <mergeCell ref="F8:F10"/>
    <mergeCell ref="G8:G10"/>
    <mergeCell ref="H14:H16"/>
    <mergeCell ref="F17:F19"/>
    <mergeCell ref="G17:G19"/>
    <mergeCell ref="H17:H19"/>
    <mergeCell ref="I17:I19"/>
    <mergeCell ref="F14:F16"/>
    <mergeCell ref="G14:G16"/>
    <mergeCell ref="I14:I16"/>
  </mergeCells>
  <pageMargins left="0.7" right="0.7" top="0.75" bottom="0.75" header="0.3" footer="0.3"/>
  <pageSetup paperSize="9" scale="37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M17"/>
  <sheetViews>
    <sheetView zoomScale="110" zoomScaleNormal="110" workbookViewId="0">
      <selection sqref="A1:M17"/>
    </sheetView>
  </sheetViews>
  <sheetFormatPr defaultColWidth="11" defaultRowHeight="15.75"/>
  <cols>
    <col min="1" max="1" width="22.625" customWidth="1"/>
    <col min="3" max="3" width="15" bestFit="1" customWidth="1"/>
    <col min="5" max="5" width="15" bestFit="1" customWidth="1"/>
    <col min="7" max="7" width="15" bestFit="1" customWidth="1"/>
    <col min="9" max="9" width="15" bestFit="1" customWidth="1"/>
    <col min="11" max="11" width="15" bestFit="1" customWidth="1"/>
    <col min="13" max="13" width="15" bestFit="1" customWidth="1"/>
  </cols>
  <sheetData>
    <row r="1" spans="1:13" ht="84.95" customHeight="1">
      <c r="A1" s="192"/>
      <c r="B1" s="195" t="s">
        <v>167</v>
      </c>
      <c r="C1" s="70" t="s">
        <v>112</v>
      </c>
      <c r="D1" s="198" t="s">
        <v>111</v>
      </c>
      <c r="E1" s="70" t="s">
        <v>112</v>
      </c>
      <c r="F1" s="198" t="s">
        <v>111</v>
      </c>
      <c r="G1" s="70" t="s">
        <v>112</v>
      </c>
      <c r="H1" s="198" t="s">
        <v>111</v>
      </c>
      <c r="I1" s="70" t="s">
        <v>112</v>
      </c>
      <c r="J1" s="198" t="s">
        <v>111</v>
      </c>
      <c r="K1" s="70" t="s">
        <v>112</v>
      </c>
      <c r="L1" s="198" t="s">
        <v>165</v>
      </c>
      <c r="M1" s="71" t="s">
        <v>112</v>
      </c>
    </row>
    <row r="2" spans="1:13" ht="57" customHeight="1">
      <c r="A2" s="193"/>
      <c r="B2" s="196"/>
      <c r="C2" s="72" t="s">
        <v>113</v>
      </c>
      <c r="D2" s="199"/>
      <c r="E2" s="72" t="s">
        <v>113</v>
      </c>
      <c r="F2" s="199"/>
      <c r="G2" s="72" t="s">
        <v>113</v>
      </c>
      <c r="H2" s="199"/>
      <c r="I2" s="72" t="s">
        <v>113</v>
      </c>
      <c r="J2" s="199"/>
      <c r="K2" s="72" t="s">
        <v>113</v>
      </c>
      <c r="L2" s="199"/>
      <c r="M2" s="73" t="s">
        <v>113</v>
      </c>
    </row>
    <row r="3" spans="1:13" ht="41.1" customHeight="1" thickBot="1">
      <c r="A3" s="194"/>
      <c r="B3" s="197"/>
      <c r="C3" s="74">
        <v>2024</v>
      </c>
      <c r="D3" s="200"/>
      <c r="E3" s="74">
        <v>2025</v>
      </c>
      <c r="F3" s="200"/>
      <c r="G3" s="74">
        <v>2026</v>
      </c>
      <c r="H3" s="200"/>
      <c r="I3" s="74">
        <v>2027</v>
      </c>
      <c r="J3" s="200"/>
      <c r="K3" s="74">
        <v>2028</v>
      </c>
      <c r="L3" s="200"/>
      <c r="M3" s="75" t="s">
        <v>177</v>
      </c>
    </row>
    <row r="4" spans="1:13" ht="15.95" customHeight="1">
      <c r="A4" s="183" t="s">
        <v>114</v>
      </c>
      <c r="B4" s="201">
        <v>0.106</v>
      </c>
      <c r="C4" s="191">
        <v>430144.64</v>
      </c>
      <c r="D4" s="189" t="s">
        <v>131</v>
      </c>
      <c r="E4" s="191">
        <v>430144.64</v>
      </c>
      <c r="F4" s="189" t="s">
        <v>131</v>
      </c>
      <c r="G4" s="191">
        <v>430144.64</v>
      </c>
      <c r="H4" s="191">
        <v>0</v>
      </c>
      <c r="I4" s="191">
        <v>430144.64</v>
      </c>
      <c r="J4" s="191">
        <v>0</v>
      </c>
      <c r="K4" s="191">
        <v>430144.64</v>
      </c>
      <c r="L4" s="189" t="s">
        <v>131</v>
      </c>
      <c r="M4" s="191">
        <v>430144.64</v>
      </c>
    </row>
    <row r="5" spans="1:13">
      <c r="A5" s="183"/>
      <c r="B5" s="201"/>
      <c r="C5" s="191"/>
      <c r="D5" s="189"/>
      <c r="E5" s="191"/>
      <c r="F5" s="189"/>
      <c r="G5" s="191"/>
      <c r="H5" s="191"/>
      <c r="I5" s="191"/>
      <c r="J5" s="191"/>
      <c r="K5" s="191"/>
      <c r="L5" s="189"/>
      <c r="M5" s="191"/>
    </row>
    <row r="6" spans="1:13">
      <c r="A6" s="183"/>
      <c r="B6" s="201"/>
      <c r="C6" s="191"/>
      <c r="D6" s="189"/>
      <c r="E6" s="191"/>
      <c r="F6" s="189"/>
      <c r="G6" s="191"/>
      <c r="H6" s="191"/>
      <c r="I6" s="191"/>
      <c r="J6" s="191"/>
      <c r="K6" s="191"/>
      <c r="L6" s="189"/>
      <c r="M6" s="191"/>
    </row>
    <row r="7" spans="1:13" ht="16.5" thickBot="1">
      <c r="A7" s="184"/>
      <c r="B7" s="202"/>
      <c r="C7" s="164"/>
      <c r="D7" s="190"/>
      <c r="E7" s="164"/>
      <c r="F7" s="190"/>
      <c r="G7" s="164"/>
      <c r="H7" s="164"/>
      <c r="I7" s="164"/>
      <c r="J7" s="164"/>
      <c r="K7" s="164"/>
      <c r="L7" s="190"/>
      <c r="M7" s="164"/>
    </row>
    <row r="8" spans="1:13" ht="15.95" customHeight="1">
      <c r="A8" s="185" t="s">
        <v>115</v>
      </c>
      <c r="B8" s="203">
        <v>1</v>
      </c>
      <c r="C8" s="163">
        <v>457577.04</v>
      </c>
      <c r="D8" s="204" t="s">
        <v>131</v>
      </c>
      <c r="E8" s="163">
        <v>457577.04</v>
      </c>
      <c r="F8" s="204" t="s">
        <v>131</v>
      </c>
      <c r="G8" s="163">
        <v>457577.04</v>
      </c>
      <c r="H8" s="163">
        <v>0</v>
      </c>
      <c r="I8" s="163">
        <v>457577.04</v>
      </c>
      <c r="J8" s="163">
        <v>0</v>
      </c>
      <c r="K8" s="163">
        <v>457577.04</v>
      </c>
      <c r="L8" s="204" t="s">
        <v>131</v>
      </c>
      <c r="M8" s="163">
        <v>457577.04</v>
      </c>
    </row>
    <row r="9" spans="1:13">
      <c r="A9" s="183"/>
      <c r="B9" s="203"/>
      <c r="C9" s="191"/>
      <c r="D9" s="189"/>
      <c r="E9" s="191"/>
      <c r="F9" s="189"/>
      <c r="G9" s="191"/>
      <c r="H9" s="191"/>
      <c r="I9" s="191"/>
      <c r="J9" s="191"/>
      <c r="K9" s="191"/>
      <c r="L9" s="189"/>
      <c r="M9" s="191"/>
    </row>
    <row r="10" spans="1:13">
      <c r="A10" s="183"/>
      <c r="B10" s="203"/>
      <c r="C10" s="191"/>
      <c r="D10" s="189"/>
      <c r="E10" s="191"/>
      <c r="F10" s="189"/>
      <c r="G10" s="191"/>
      <c r="H10" s="191"/>
      <c r="I10" s="191"/>
      <c r="J10" s="191"/>
      <c r="K10" s="191"/>
      <c r="L10" s="189"/>
      <c r="M10" s="191"/>
    </row>
    <row r="11" spans="1:13" ht="16.5" thickBot="1">
      <c r="A11" s="184"/>
      <c r="B11" s="203"/>
      <c r="C11" s="164"/>
      <c r="D11" s="190"/>
      <c r="E11" s="164"/>
      <c r="F11" s="190"/>
      <c r="G11" s="164"/>
      <c r="H11" s="164"/>
      <c r="I11" s="164"/>
      <c r="J11" s="164"/>
      <c r="K11" s="164"/>
      <c r="L11" s="190"/>
      <c r="M11" s="164"/>
    </row>
    <row r="12" spans="1:13" ht="15.95" customHeight="1">
      <c r="A12" s="205" t="s">
        <v>116</v>
      </c>
      <c r="B12" s="207">
        <v>8.0000000000000002E-3</v>
      </c>
      <c r="C12" s="163">
        <v>75062</v>
      </c>
      <c r="D12" s="209" t="s">
        <v>131</v>
      </c>
      <c r="E12" s="163">
        <v>75062</v>
      </c>
      <c r="F12" s="209" t="s">
        <v>131</v>
      </c>
      <c r="G12" s="163">
        <v>75062</v>
      </c>
      <c r="H12" s="209"/>
      <c r="I12" s="163">
        <v>75062</v>
      </c>
      <c r="J12" s="209"/>
      <c r="K12" s="163">
        <v>75062</v>
      </c>
      <c r="L12" s="209" t="s">
        <v>131</v>
      </c>
      <c r="M12" s="163">
        <v>75062</v>
      </c>
    </row>
    <row r="13" spans="1:13" ht="16.5" thickBot="1">
      <c r="A13" s="206"/>
      <c r="B13" s="208"/>
      <c r="C13" s="164"/>
      <c r="D13" s="210"/>
      <c r="E13" s="164"/>
      <c r="F13" s="210"/>
      <c r="G13" s="164"/>
      <c r="H13" s="210"/>
      <c r="I13" s="164"/>
      <c r="J13" s="210"/>
      <c r="K13" s="164"/>
      <c r="L13" s="210"/>
      <c r="M13" s="164"/>
    </row>
    <row r="14" spans="1:13" ht="15.95" customHeight="1">
      <c r="A14" s="185" t="s">
        <v>117</v>
      </c>
      <c r="B14" s="211" t="s">
        <v>166</v>
      </c>
      <c r="C14" s="163">
        <v>5000</v>
      </c>
      <c r="D14" s="204" t="s">
        <v>131</v>
      </c>
      <c r="E14" s="163">
        <v>5000</v>
      </c>
      <c r="F14" s="209" t="s">
        <v>131</v>
      </c>
      <c r="G14" s="163">
        <v>5000</v>
      </c>
      <c r="H14" s="209"/>
      <c r="I14" s="163">
        <v>5000</v>
      </c>
      <c r="J14" s="209"/>
      <c r="K14" s="163">
        <v>5000</v>
      </c>
      <c r="L14" s="209" t="s">
        <v>131</v>
      </c>
      <c r="M14" s="163">
        <v>5000</v>
      </c>
    </row>
    <row r="15" spans="1:13" ht="16.5" thickBot="1">
      <c r="A15" s="184"/>
      <c r="B15" s="212"/>
      <c r="C15" s="164"/>
      <c r="D15" s="190"/>
      <c r="E15" s="164"/>
      <c r="F15" s="210"/>
      <c r="G15" s="164"/>
      <c r="H15" s="210"/>
      <c r="I15" s="164"/>
      <c r="J15" s="210"/>
      <c r="K15" s="164"/>
      <c r="L15" s="210"/>
      <c r="M15" s="164"/>
    </row>
    <row r="17" spans="1:1">
      <c r="A17" t="s">
        <v>191</v>
      </c>
    </row>
  </sheetData>
  <mergeCells count="59">
    <mergeCell ref="F12:F13"/>
    <mergeCell ref="G12:G13"/>
    <mergeCell ref="H12:H13"/>
    <mergeCell ref="I12:I13"/>
    <mergeCell ref="M12:M13"/>
    <mergeCell ref="J12:J13"/>
    <mergeCell ref="K12:K13"/>
    <mergeCell ref="L12:L13"/>
    <mergeCell ref="A14:A15"/>
    <mergeCell ref="B14:B15"/>
    <mergeCell ref="C14:C15"/>
    <mergeCell ref="D14:D15"/>
    <mergeCell ref="E14:E15"/>
    <mergeCell ref="F14:F15"/>
    <mergeCell ref="M14:M15"/>
    <mergeCell ref="G14:G15"/>
    <mergeCell ref="H14:H15"/>
    <mergeCell ref="I14:I15"/>
    <mergeCell ref="J14:J15"/>
    <mergeCell ref="K14:K15"/>
    <mergeCell ref="L14:L15"/>
    <mergeCell ref="A12:A13"/>
    <mergeCell ref="B12:B13"/>
    <mergeCell ref="C12:C13"/>
    <mergeCell ref="D12:D13"/>
    <mergeCell ref="E12:E13"/>
    <mergeCell ref="F8:F11"/>
    <mergeCell ref="M8:M11"/>
    <mergeCell ref="J8:J11"/>
    <mergeCell ref="K8:K11"/>
    <mergeCell ref="L8:L11"/>
    <mergeCell ref="G8:G11"/>
    <mergeCell ref="H8:H11"/>
    <mergeCell ref="I8:I11"/>
    <mergeCell ref="A8:A11"/>
    <mergeCell ref="B8:B11"/>
    <mergeCell ref="C8:C11"/>
    <mergeCell ref="D8:D11"/>
    <mergeCell ref="E8:E11"/>
    <mergeCell ref="J4:J7"/>
    <mergeCell ref="K4:K7"/>
    <mergeCell ref="L4:L7"/>
    <mergeCell ref="M4:M7"/>
    <mergeCell ref="J1:J3"/>
    <mergeCell ref="L1:L3"/>
    <mergeCell ref="F4:F7"/>
    <mergeCell ref="G4:G7"/>
    <mergeCell ref="H4:H7"/>
    <mergeCell ref="I4:I7"/>
    <mergeCell ref="A1:A3"/>
    <mergeCell ref="B1:B3"/>
    <mergeCell ref="D1:D3"/>
    <mergeCell ref="F1:F3"/>
    <mergeCell ref="A4:A7"/>
    <mergeCell ref="B4:B7"/>
    <mergeCell ref="C4:C7"/>
    <mergeCell ref="D4:D7"/>
    <mergeCell ref="E4:E7"/>
    <mergeCell ref="H1:H3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2</vt:i4>
      </vt:variant>
    </vt:vector>
  </HeadingPairs>
  <TitlesOfParts>
    <vt:vector size="19" baseType="lpstr">
      <vt:lpstr>Hp Ripiano Coperture</vt:lpstr>
      <vt:lpstr>Bilancio EQUILIBRI EELL</vt:lpstr>
      <vt:lpstr>Rendiconto 2023</vt:lpstr>
      <vt:lpstr>Previsione Entrate</vt:lpstr>
      <vt:lpstr>Previsione Spese</vt:lpstr>
      <vt:lpstr>Ripiano disavanzo</vt:lpstr>
      <vt:lpstr>Ripiano disavanzo totale</vt:lpstr>
      <vt:lpstr>Ripiano DFB</vt:lpstr>
      <vt:lpstr>Tributi Locali</vt:lpstr>
      <vt:lpstr>Recupero Evasione</vt:lpstr>
      <vt:lpstr>Incremento entrate correnti</vt:lpstr>
      <vt:lpstr>Revisione Spesa</vt:lpstr>
      <vt:lpstr>Macroaggregati</vt:lpstr>
      <vt:lpstr>Servizi domanda ind.le</vt:lpstr>
      <vt:lpstr>Organi Istituzionali</vt:lpstr>
      <vt:lpstr>PCC</vt:lpstr>
      <vt:lpstr>Previsione Spese (2)</vt:lpstr>
      <vt:lpstr>'Bilancio EQUILIBRI EELL'!Area_stampa</vt:lpstr>
      <vt:lpstr>'Bilancio EQUILIBRI EELL'!Titoli_stampa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Infantino</dc:creator>
  <cp:lastModifiedBy>client</cp:lastModifiedBy>
  <cp:lastPrinted>2024-09-27T10:05:31Z</cp:lastPrinted>
  <dcterms:created xsi:type="dcterms:W3CDTF">2018-11-06T22:04:53Z</dcterms:created>
  <dcterms:modified xsi:type="dcterms:W3CDTF">2024-10-10T08:27:09Z</dcterms:modified>
</cp:coreProperties>
</file>